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K:\Tylco\Engenharia\Custos\SO-Solicitação de orçamento\Outros\"/>
    </mc:Choice>
  </mc:AlternateContent>
  <xr:revisionPtr revIDLastSave="0" documentId="13_ncr:1_{22AA8E0A-5B9B-43C7-A049-EB0FDDA50FE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dos de Entrada" sheetId="5" r:id="rId1"/>
    <sheet name="75Y60 P37" sheetId="4" r:id="rId2"/>
    <sheet name="Custo Hora" sheetId="3" r:id="rId3"/>
    <sheet name="Material Comprado" sheetId="2" r:id="rId4"/>
  </sheets>
  <externalReferences>
    <externalReference r:id="rId5"/>
  </externalReferences>
  <definedNames>
    <definedName name="_xlnm._FilterDatabase" localSheetId="1" hidden="1">'75Y60 P37'!$A$9:$AL$147</definedName>
    <definedName name="_xlnm._FilterDatabase" localSheetId="2" hidden="1">'Custo Hora'!$B$2:$D$60</definedName>
    <definedName name="_xlnm._FilterDatabase" localSheetId="3" hidden="1">'Material Comprado'!$A$2:$E$420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1">'75Y60 P37'!$A$1:$AA$9</definedName>
    <definedName name="_xlnm.Print_Area" localSheetId="0">'Dados de Entrada'!$C$8:$M$12</definedName>
    <definedName name="Classificação_do_Custo">#REF!</definedName>
    <definedName name="densidade">#REF!</definedName>
    <definedName name="EAP">[1]EAP!$A$12:$O$922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6" i="4" l="1"/>
  <c r="AB16" i="4"/>
  <c r="AD16" i="4" s="1"/>
  <c r="N16" i="4"/>
  <c r="D114" i="4"/>
  <c r="V18" i="4"/>
  <c r="V11" i="4"/>
  <c r="V12" i="4"/>
  <c r="V13" i="4"/>
  <c r="V14" i="4"/>
  <c r="V15" i="4"/>
  <c r="V17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3" i="4"/>
  <c r="V84" i="4"/>
  <c r="V85" i="4"/>
  <c r="V86" i="4"/>
  <c r="V87" i="4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102" i="4"/>
  <c r="V103" i="4"/>
  <c r="V104" i="4"/>
  <c r="V105" i="4"/>
  <c r="V106" i="4"/>
  <c r="V107" i="4"/>
  <c r="V108" i="4"/>
  <c r="V109" i="4"/>
  <c r="V110" i="4"/>
  <c r="V111" i="4"/>
  <c r="V112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0" i="4"/>
  <c r="D11" i="4" l="1"/>
  <c r="D12" i="4"/>
  <c r="D13" i="4"/>
  <c r="D14" i="4"/>
  <c r="D15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0" i="4"/>
  <c r="I95" i="4"/>
  <c r="H95" i="4" s="1"/>
  <c r="J95" i="4"/>
  <c r="N95" i="4"/>
  <c r="AB95" i="4"/>
  <c r="I96" i="4"/>
  <c r="H96" i="4" s="1"/>
  <c r="J96" i="4"/>
  <c r="N96" i="4"/>
  <c r="AB96" i="4"/>
  <c r="I97" i="4"/>
  <c r="H97" i="4" s="1"/>
  <c r="J97" i="4"/>
  <c r="N97" i="4"/>
  <c r="AB97" i="4"/>
  <c r="I98" i="4"/>
  <c r="H98" i="4" s="1"/>
  <c r="J98" i="4"/>
  <c r="N98" i="4"/>
  <c r="AB98" i="4"/>
  <c r="I99" i="4"/>
  <c r="H99" i="4" s="1"/>
  <c r="J99" i="4"/>
  <c r="N99" i="4"/>
  <c r="AB99" i="4"/>
  <c r="I100" i="4"/>
  <c r="J100" i="4"/>
  <c r="N100" i="4"/>
  <c r="AB100" i="4"/>
  <c r="I101" i="4"/>
  <c r="J101" i="4"/>
  <c r="N101" i="4"/>
  <c r="AB101" i="4"/>
  <c r="I102" i="4"/>
  <c r="H102" i="4" s="1"/>
  <c r="J102" i="4"/>
  <c r="N102" i="4"/>
  <c r="AB102" i="4"/>
  <c r="I103" i="4"/>
  <c r="H103" i="4" s="1"/>
  <c r="J103" i="4"/>
  <c r="N103" i="4"/>
  <c r="AB103" i="4"/>
  <c r="I104" i="4"/>
  <c r="H104" i="4" s="1"/>
  <c r="J104" i="4"/>
  <c r="N104" i="4"/>
  <c r="AB104" i="4"/>
  <c r="I105" i="4"/>
  <c r="J105" i="4"/>
  <c r="N105" i="4"/>
  <c r="AB105" i="4"/>
  <c r="I106" i="4"/>
  <c r="H106" i="4" s="1"/>
  <c r="J106" i="4"/>
  <c r="N106" i="4"/>
  <c r="AB106" i="4"/>
  <c r="I107" i="4"/>
  <c r="H107" i="4" s="1"/>
  <c r="J107" i="4"/>
  <c r="N107" i="4"/>
  <c r="AB107" i="4"/>
  <c r="I108" i="4"/>
  <c r="H108" i="4" s="1"/>
  <c r="J108" i="4"/>
  <c r="N108" i="4"/>
  <c r="AB108" i="4"/>
  <c r="I109" i="4"/>
  <c r="J109" i="4"/>
  <c r="N109" i="4"/>
  <c r="AB109" i="4"/>
  <c r="I110" i="4"/>
  <c r="H110" i="4" s="1"/>
  <c r="J110" i="4"/>
  <c r="N110" i="4"/>
  <c r="AB110" i="4"/>
  <c r="I111" i="4"/>
  <c r="H111" i="4" s="1"/>
  <c r="J111" i="4"/>
  <c r="N111" i="4"/>
  <c r="AB111" i="4"/>
  <c r="I112" i="4"/>
  <c r="J112" i="4"/>
  <c r="N112" i="4"/>
  <c r="AB112" i="4"/>
  <c r="I113" i="4"/>
  <c r="J113" i="4"/>
  <c r="N113" i="4"/>
  <c r="AB113" i="4"/>
  <c r="I114" i="4"/>
  <c r="H114" i="4" s="1"/>
  <c r="J114" i="4"/>
  <c r="N114" i="4"/>
  <c r="AB114" i="4"/>
  <c r="I115" i="4"/>
  <c r="H115" i="4" s="1"/>
  <c r="J115" i="4"/>
  <c r="N115" i="4"/>
  <c r="AB115" i="4"/>
  <c r="I116" i="4"/>
  <c r="J116" i="4"/>
  <c r="N116" i="4"/>
  <c r="AB116" i="4"/>
  <c r="I117" i="4"/>
  <c r="J117" i="4"/>
  <c r="N117" i="4"/>
  <c r="AB117" i="4"/>
  <c r="I118" i="4"/>
  <c r="H118" i="4" s="1"/>
  <c r="J118" i="4"/>
  <c r="N118" i="4"/>
  <c r="AB118" i="4"/>
  <c r="I119" i="4"/>
  <c r="H119" i="4" s="1"/>
  <c r="J119" i="4"/>
  <c r="N119" i="4"/>
  <c r="AB119" i="4"/>
  <c r="I120" i="4"/>
  <c r="H120" i="4" s="1"/>
  <c r="J120" i="4"/>
  <c r="N120" i="4"/>
  <c r="AB120" i="4"/>
  <c r="I50" i="4"/>
  <c r="J50" i="4"/>
  <c r="N50" i="4"/>
  <c r="AB50" i="4"/>
  <c r="I51" i="4"/>
  <c r="H51" i="4" s="1"/>
  <c r="J51" i="4"/>
  <c r="N51" i="4"/>
  <c r="AB51" i="4"/>
  <c r="I52" i="4"/>
  <c r="H52" i="4" s="1"/>
  <c r="J52" i="4"/>
  <c r="N52" i="4"/>
  <c r="AB52" i="4"/>
  <c r="I53" i="4"/>
  <c r="J53" i="4"/>
  <c r="N53" i="4"/>
  <c r="AB53" i="4"/>
  <c r="I54" i="4"/>
  <c r="J54" i="4"/>
  <c r="N54" i="4"/>
  <c r="AB54" i="4"/>
  <c r="I55" i="4"/>
  <c r="H55" i="4" s="1"/>
  <c r="J55" i="4"/>
  <c r="N55" i="4"/>
  <c r="AB55" i="4"/>
  <c r="I56" i="4"/>
  <c r="H56" i="4" s="1"/>
  <c r="J56" i="4"/>
  <c r="N56" i="4"/>
  <c r="AB56" i="4"/>
  <c r="I57" i="4"/>
  <c r="J57" i="4"/>
  <c r="N57" i="4"/>
  <c r="AB57" i="4"/>
  <c r="I58" i="4"/>
  <c r="J58" i="4"/>
  <c r="N58" i="4"/>
  <c r="AB58" i="4"/>
  <c r="I59" i="4"/>
  <c r="H59" i="4" s="1"/>
  <c r="J59" i="4"/>
  <c r="N59" i="4"/>
  <c r="AB59" i="4"/>
  <c r="I60" i="4"/>
  <c r="H60" i="4" s="1"/>
  <c r="J60" i="4"/>
  <c r="N60" i="4"/>
  <c r="AB60" i="4"/>
  <c r="I61" i="4"/>
  <c r="J61" i="4"/>
  <c r="N61" i="4"/>
  <c r="AB61" i="4"/>
  <c r="I62" i="4"/>
  <c r="J62" i="4"/>
  <c r="N62" i="4"/>
  <c r="AB62" i="4"/>
  <c r="I63" i="4"/>
  <c r="H63" i="4" s="1"/>
  <c r="J63" i="4"/>
  <c r="N63" i="4"/>
  <c r="AB63" i="4"/>
  <c r="I64" i="4"/>
  <c r="H64" i="4" s="1"/>
  <c r="J64" i="4"/>
  <c r="N64" i="4"/>
  <c r="AB64" i="4"/>
  <c r="I65" i="4"/>
  <c r="J65" i="4"/>
  <c r="N65" i="4"/>
  <c r="AB65" i="4"/>
  <c r="I66" i="4"/>
  <c r="J66" i="4"/>
  <c r="N66" i="4"/>
  <c r="AB66" i="4"/>
  <c r="I67" i="4"/>
  <c r="H67" i="4" s="1"/>
  <c r="J67" i="4"/>
  <c r="N67" i="4"/>
  <c r="AB67" i="4"/>
  <c r="I68" i="4"/>
  <c r="H68" i="4" s="1"/>
  <c r="J68" i="4"/>
  <c r="N68" i="4"/>
  <c r="AB68" i="4"/>
  <c r="I69" i="4"/>
  <c r="J69" i="4"/>
  <c r="N69" i="4"/>
  <c r="AB69" i="4"/>
  <c r="I70" i="4"/>
  <c r="J70" i="4"/>
  <c r="N70" i="4"/>
  <c r="AB70" i="4"/>
  <c r="I71" i="4"/>
  <c r="H71" i="4" s="1"/>
  <c r="J71" i="4"/>
  <c r="N71" i="4"/>
  <c r="AB71" i="4"/>
  <c r="I72" i="4"/>
  <c r="H72" i="4" s="1"/>
  <c r="J72" i="4"/>
  <c r="N72" i="4"/>
  <c r="AB72" i="4"/>
  <c r="I73" i="4"/>
  <c r="H73" i="4" s="1"/>
  <c r="J73" i="4"/>
  <c r="N73" i="4"/>
  <c r="AB73" i="4"/>
  <c r="I74" i="4"/>
  <c r="J74" i="4"/>
  <c r="N74" i="4"/>
  <c r="AB74" i="4"/>
  <c r="I75" i="4"/>
  <c r="H75" i="4" s="1"/>
  <c r="J75" i="4"/>
  <c r="N75" i="4"/>
  <c r="AB75" i="4"/>
  <c r="I76" i="4"/>
  <c r="H76" i="4" s="1"/>
  <c r="J76" i="4"/>
  <c r="N76" i="4"/>
  <c r="AB76" i="4"/>
  <c r="I77" i="4"/>
  <c r="J77" i="4"/>
  <c r="N77" i="4"/>
  <c r="AB77" i="4"/>
  <c r="I78" i="4"/>
  <c r="J78" i="4"/>
  <c r="N78" i="4"/>
  <c r="AB78" i="4"/>
  <c r="I79" i="4"/>
  <c r="H79" i="4" s="1"/>
  <c r="J79" i="4"/>
  <c r="N79" i="4"/>
  <c r="AB79" i="4"/>
  <c r="I80" i="4"/>
  <c r="H80" i="4" s="1"/>
  <c r="J80" i="4"/>
  <c r="N80" i="4"/>
  <c r="AB80" i="4"/>
  <c r="I81" i="4"/>
  <c r="H81" i="4" s="1"/>
  <c r="J81" i="4"/>
  <c r="N81" i="4"/>
  <c r="AB81" i="4"/>
  <c r="I82" i="4"/>
  <c r="J82" i="4"/>
  <c r="N82" i="4"/>
  <c r="AB82" i="4"/>
  <c r="I83" i="4"/>
  <c r="H83" i="4" s="1"/>
  <c r="J83" i="4"/>
  <c r="N83" i="4"/>
  <c r="AB83" i="4"/>
  <c r="I84" i="4"/>
  <c r="H84" i="4" s="1"/>
  <c r="J84" i="4"/>
  <c r="N84" i="4"/>
  <c r="AB84" i="4"/>
  <c r="I85" i="4"/>
  <c r="J85" i="4"/>
  <c r="N85" i="4"/>
  <c r="AB85" i="4"/>
  <c r="I86" i="4"/>
  <c r="J86" i="4"/>
  <c r="N86" i="4"/>
  <c r="AB86" i="4"/>
  <c r="I87" i="4"/>
  <c r="J87" i="4"/>
  <c r="N87" i="4"/>
  <c r="AB87" i="4"/>
  <c r="I88" i="4"/>
  <c r="H88" i="4" s="1"/>
  <c r="J88" i="4"/>
  <c r="N88" i="4"/>
  <c r="AB88" i="4"/>
  <c r="B147" i="4"/>
  <c r="AC84" i="4" l="1"/>
  <c r="AC53" i="4"/>
  <c r="AC57" i="4"/>
  <c r="AC76" i="4"/>
  <c r="AC116" i="4"/>
  <c r="AC119" i="4"/>
  <c r="AC112" i="4"/>
  <c r="AC118" i="4"/>
  <c r="AC117" i="4"/>
  <c r="AC77" i="4"/>
  <c r="AC69" i="4"/>
  <c r="AC65" i="4"/>
  <c r="AC114" i="4"/>
  <c r="AC58" i="4"/>
  <c r="H57" i="4"/>
  <c r="AC50" i="4"/>
  <c r="AC120" i="4"/>
  <c r="H116" i="4"/>
  <c r="AC111" i="4"/>
  <c r="AC108" i="4"/>
  <c r="AC103" i="4"/>
  <c r="AC100" i="4"/>
  <c r="AC97" i="4"/>
  <c r="AC95" i="4"/>
  <c r="AC68" i="4"/>
  <c r="H65" i="4"/>
  <c r="AC61" i="4"/>
  <c r="AC56" i="4"/>
  <c r="H53" i="4"/>
  <c r="H112" i="4"/>
  <c r="AC110" i="4"/>
  <c r="AC109" i="4"/>
  <c r="AC102" i="4"/>
  <c r="AC101" i="4"/>
  <c r="AC66" i="4"/>
  <c r="AC54" i="4"/>
  <c r="AC115" i="4"/>
  <c r="AC113" i="4"/>
  <c r="AC107" i="4"/>
  <c r="AC104" i="4"/>
  <c r="H100" i="4"/>
  <c r="AC98" i="4"/>
  <c r="AC96" i="4"/>
  <c r="AC87" i="4"/>
  <c r="AC85" i="4"/>
  <c r="AC106" i="4"/>
  <c r="AC105" i="4"/>
  <c r="AC99" i="4"/>
  <c r="H117" i="4"/>
  <c r="H113" i="4"/>
  <c r="H109" i="4"/>
  <c r="H105" i="4"/>
  <c r="H101" i="4"/>
  <c r="AC88" i="4"/>
  <c r="AC86" i="4"/>
  <c r="H85" i="4"/>
  <c r="AC81" i="4"/>
  <c r="AC80" i="4"/>
  <c r="AC78" i="4"/>
  <c r="H77" i="4"/>
  <c r="AC73" i="4"/>
  <c r="AC72" i="4"/>
  <c r="AC70" i="4"/>
  <c r="H69" i="4"/>
  <c r="AC64" i="4"/>
  <c r="AC62" i="4"/>
  <c r="H61" i="4"/>
  <c r="AC52" i="4"/>
  <c r="AC82" i="4"/>
  <c r="AC74" i="4"/>
  <c r="AC60" i="4"/>
  <c r="H86" i="4"/>
  <c r="H87" i="4"/>
  <c r="AC83" i="4"/>
  <c r="AC79" i="4"/>
  <c r="AC75" i="4"/>
  <c r="AC71" i="4"/>
  <c r="AC67" i="4"/>
  <c r="AC63" i="4"/>
  <c r="AC59" i="4"/>
  <c r="AC55" i="4"/>
  <c r="AC51" i="4"/>
  <c r="H82" i="4"/>
  <c r="H78" i="4"/>
  <c r="H74" i="4"/>
  <c r="H70" i="4"/>
  <c r="H66" i="4"/>
  <c r="H62" i="4"/>
  <c r="H58" i="4"/>
  <c r="H54" i="4"/>
  <c r="H50" i="4"/>
  <c r="AK9" i="5" l="1"/>
  <c r="N13" i="4" l="1"/>
  <c r="I11" i="4"/>
  <c r="H11" i="4" s="1"/>
  <c r="J11" i="4"/>
  <c r="N11" i="4"/>
  <c r="AB11" i="4"/>
  <c r="I12" i="4"/>
  <c r="H12" i="4" s="1"/>
  <c r="J12" i="4"/>
  <c r="N12" i="4"/>
  <c r="AB12" i="4"/>
  <c r="AC11" i="4" l="1"/>
  <c r="AC12" i="4"/>
  <c r="R147" i="4" l="1"/>
  <c r="S147" i="4"/>
  <c r="T147" i="4"/>
  <c r="U147" i="4"/>
  <c r="N14" i="4"/>
  <c r="AB14" i="4"/>
  <c r="N15" i="4"/>
  <c r="AB15" i="4"/>
  <c r="N17" i="4"/>
  <c r="AB17" i="4"/>
  <c r="N18" i="4"/>
  <c r="AB18" i="4"/>
  <c r="N19" i="4"/>
  <c r="AB19" i="4"/>
  <c r="N20" i="4"/>
  <c r="AB20" i="4"/>
  <c r="N21" i="4"/>
  <c r="AB21" i="4"/>
  <c r="N22" i="4"/>
  <c r="AB22" i="4"/>
  <c r="N23" i="4"/>
  <c r="AB23" i="4"/>
  <c r="N24" i="4"/>
  <c r="AB24" i="4"/>
  <c r="N25" i="4"/>
  <c r="AB25" i="4"/>
  <c r="N26" i="4"/>
  <c r="AB26" i="4"/>
  <c r="N27" i="4"/>
  <c r="AB27" i="4"/>
  <c r="N28" i="4"/>
  <c r="AB28" i="4"/>
  <c r="N29" i="4"/>
  <c r="AB29" i="4"/>
  <c r="N30" i="4"/>
  <c r="AB30" i="4"/>
  <c r="N31" i="4"/>
  <c r="AB31" i="4"/>
  <c r="N32" i="4"/>
  <c r="AB32" i="4"/>
  <c r="N33" i="4"/>
  <c r="AB33" i="4"/>
  <c r="N34" i="4"/>
  <c r="AB34" i="4"/>
  <c r="N35" i="4"/>
  <c r="AB35" i="4"/>
  <c r="N36" i="4"/>
  <c r="AB36" i="4"/>
  <c r="N37" i="4"/>
  <c r="AB37" i="4"/>
  <c r="N38" i="4"/>
  <c r="AB38" i="4"/>
  <c r="N39" i="4"/>
  <c r="AB39" i="4"/>
  <c r="N40" i="4"/>
  <c r="AB40" i="4"/>
  <c r="N41" i="4"/>
  <c r="AB41" i="4"/>
  <c r="N42" i="4"/>
  <c r="AB42" i="4"/>
  <c r="N43" i="4"/>
  <c r="AB43" i="4"/>
  <c r="N44" i="4"/>
  <c r="AB44" i="4"/>
  <c r="N45" i="4"/>
  <c r="AB45" i="4"/>
  <c r="N46" i="4"/>
  <c r="AB46" i="4"/>
  <c r="N47" i="4"/>
  <c r="AB47" i="4"/>
  <c r="N48" i="4"/>
  <c r="AB48" i="4"/>
  <c r="N49" i="4"/>
  <c r="AB49" i="4"/>
  <c r="N89" i="4"/>
  <c r="AB89" i="4"/>
  <c r="N90" i="4"/>
  <c r="AB90" i="4"/>
  <c r="N91" i="4"/>
  <c r="AB91" i="4"/>
  <c r="N92" i="4"/>
  <c r="AB92" i="4"/>
  <c r="N93" i="4"/>
  <c r="AB93" i="4"/>
  <c r="N94" i="4"/>
  <c r="AB94" i="4"/>
  <c r="N121" i="4"/>
  <c r="AB121" i="4"/>
  <c r="N122" i="4"/>
  <c r="AB122" i="4"/>
  <c r="N123" i="4"/>
  <c r="AB123" i="4"/>
  <c r="N124" i="4"/>
  <c r="AB124" i="4"/>
  <c r="N125" i="4"/>
  <c r="AB125" i="4"/>
  <c r="N126" i="4"/>
  <c r="AB126" i="4"/>
  <c r="N127" i="4"/>
  <c r="AB127" i="4"/>
  <c r="N128" i="4"/>
  <c r="AB128" i="4"/>
  <c r="N129" i="4"/>
  <c r="AB129" i="4"/>
  <c r="N130" i="4"/>
  <c r="AB130" i="4"/>
  <c r="N131" i="4"/>
  <c r="AB131" i="4"/>
  <c r="N132" i="4"/>
  <c r="AB132" i="4"/>
  <c r="N133" i="4"/>
  <c r="AB133" i="4"/>
  <c r="N134" i="4"/>
  <c r="AB134" i="4"/>
  <c r="N135" i="4"/>
  <c r="AB135" i="4"/>
  <c r="N136" i="4"/>
  <c r="AB136" i="4"/>
  <c r="N137" i="4"/>
  <c r="AB137" i="4"/>
  <c r="N138" i="4"/>
  <c r="AB138" i="4"/>
  <c r="N139" i="4"/>
  <c r="AB139" i="4"/>
  <c r="N140" i="4"/>
  <c r="AB140" i="4"/>
  <c r="N141" i="4"/>
  <c r="AB141" i="4"/>
  <c r="N142" i="4"/>
  <c r="AB142" i="4"/>
  <c r="N143" i="4"/>
  <c r="AB143" i="4"/>
  <c r="N144" i="4"/>
  <c r="AB144" i="4"/>
  <c r="N145" i="4"/>
  <c r="AB145" i="4"/>
  <c r="N146" i="4"/>
  <c r="AB146" i="4"/>
  <c r="K10" i="5" l="1"/>
  <c r="I13" i="4" l="1"/>
  <c r="J13" i="4"/>
  <c r="I14" i="4"/>
  <c r="J14" i="4"/>
  <c r="I15" i="4"/>
  <c r="J15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89" i="4"/>
  <c r="J89" i="4"/>
  <c r="I90" i="4"/>
  <c r="J90" i="4"/>
  <c r="I91" i="4"/>
  <c r="J91" i="4"/>
  <c r="I92" i="4"/>
  <c r="J92" i="4"/>
  <c r="I93" i="4"/>
  <c r="J93" i="4"/>
  <c r="I94" i="4"/>
  <c r="J94" i="4"/>
  <c r="I121" i="4"/>
  <c r="J121" i="4"/>
  <c r="I122" i="4"/>
  <c r="J122" i="4"/>
  <c r="I123" i="4"/>
  <c r="J123" i="4"/>
  <c r="I124" i="4"/>
  <c r="J124" i="4"/>
  <c r="I125" i="4"/>
  <c r="J125" i="4"/>
  <c r="I126" i="4"/>
  <c r="J126" i="4"/>
  <c r="I127" i="4"/>
  <c r="J127" i="4"/>
  <c r="I128" i="4"/>
  <c r="J128" i="4"/>
  <c r="I129" i="4"/>
  <c r="J129" i="4"/>
  <c r="I130" i="4"/>
  <c r="J130" i="4"/>
  <c r="I131" i="4"/>
  <c r="J131" i="4"/>
  <c r="I132" i="4"/>
  <c r="J132" i="4"/>
  <c r="I133" i="4"/>
  <c r="J133" i="4"/>
  <c r="I134" i="4"/>
  <c r="J134" i="4"/>
  <c r="I135" i="4"/>
  <c r="J135" i="4"/>
  <c r="I136" i="4"/>
  <c r="J136" i="4"/>
  <c r="I137" i="4"/>
  <c r="J137" i="4"/>
  <c r="I138" i="4"/>
  <c r="J138" i="4"/>
  <c r="I139" i="4"/>
  <c r="J139" i="4"/>
  <c r="I140" i="4"/>
  <c r="J140" i="4"/>
  <c r="I141" i="4"/>
  <c r="J141" i="4"/>
  <c r="I142" i="4"/>
  <c r="J142" i="4"/>
  <c r="I143" i="4"/>
  <c r="J143" i="4"/>
  <c r="I144" i="4"/>
  <c r="J144" i="4"/>
  <c r="I145" i="4"/>
  <c r="J145" i="4"/>
  <c r="I146" i="4"/>
  <c r="J146" i="4"/>
  <c r="J10" i="4"/>
  <c r="I10" i="4"/>
  <c r="AC21" i="4" l="1"/>
  <c r="AC27" i="4"/>
  <c r="AC22" i="4"/>
  <c r="AC146" i="4"/>
  <c r="AC142" i="4"/>
  <c r="AC138" i="4"/>
  <c r="AC126" i="4"/>
  <c r="AC144" i="4"/>
  <c r="AC140" i="4"/>
  <c r="AC136" i="4"/>
  <c r="AC134" i="4"/>
  <c r="AC132" i="4"/>
  <c r="AC130" i="4"/>
  <c r="AC128" i="4"/>
  <c r="AC124" i="4"/>
  <c r="AC122" i="4"/>
  <c r="AC93" i="4"/>
  <c r="AC91" i="4"/>
  <c r="AC89" i="4"/>
  <c r="AC49" i="4"/>
  <c r="AC47" i="4"/>
  <c r="AC45" i="4"/>
  <c r="AC43" i="4"/>
  <c r="AC41" i="4"/>
  <c r="AC39" i="4"/>
  <c r="AC37" i="4"/>
  <c r="AC35" i="4"/>
  <c r="AC33" i="4"/>
  <c r="AC31" i="4"/>
  <c r="AC29" i="4"/>
  <c r="AC25" i="4"/>
  <c r="AC23" i="4"/>
  <c r="AC19" i="4"/>
  <c r="AC17" i="4"/>
  <c r="AC15" i="4"/>
  <c r="AC145" i="4"/>
  <c r="AC141" i="4"/>
  <c r="AC139" i="4"/>
  <c r="AC135" i="4"/>
  <c r="AC133" i="4"/>
  <c r="AC131" i="4"/>
  <c r="AC129" i="4"/>
  <c r="AC127" i="4"/>
  <c r="AC123" i="4"/>
  <c r="AC121" i="4"/>
  <c r="AC94" i="4"/>
  <c r="AC92" i="4"/>
  <c r="AC90" i="4"/>
  <c r="AC48" i="4"/>
  <c r="AC46" i="4"/>
  <c r="AC44" i="4"/>
  <c r="AC42" i="4"/>
  <c r="AC40" i="4"/>
  <c r="AC38" i="4"/>
  <c r="AC36" i="4"/>
  <c r="AC34" i="4"/>
  <c r="AC32" i="4"/>
  <c r="AC30" i="4"/>
  <c r="AC28" i="4"/>
  <c r="AC26" i="4"/>
  <c r="AC24" i="4"/>
  <c r="AC20" i="4"/>
  <c r="AC18" i="4"/>
  <c r="AC14" i="4"/>
  <c r="AC143" i="4"/>
  <c r="AC137" i="4"/>
  <c r="AC125" i="4"/>
  <c r="AA147" i="4"/>
  <c r="Z147" i="4"/>
  <c r="Y147" i="4"/>
  <c r="X147" i="4"/>
  <c r="Q147" i="4"/>
  <c r="P147" i="4"/>
  <c r="O147" i="4"/>
  <c r="M147" i="4"/>
  <c r="L147" i="4"/>
  <c r="K147" i="4"/>
  <c r="G147" i="4"/>
  <c r="F147" i="4"/>
  <c r="E147" i="4"/>
  <c r="E9" i="5"/>
  <c r="A147" i="4"/>
  <c r="H146" i="4"/>
  <c r="H145" i="4"/>
  <c r="H144" i="4"/>
  <c r="H142" i="4"/>
  <c r="H141" i="4"/>
  <c r="H140" i="4"/>
  <c r="H138" i="4"/>
  <c r="H137" i="4"/>
  <c r="H136" i="4"/>
  <c r="H134" i="4"/>
  <c r="H132" i="4"/>
  <c r="H129" i="4"/>
  <c r="H128" i="4"/>
  <c r="H125" i="4"/>
  <c r="H124" i="4"/>
  <c r="H121" i="4"/>
  <c r="H91" i="4"/>
  <c r="H47" i="4"/>
  <c r="H43" i="4"/>
  <c r="H39" i="4"/>
  <c r="H38" i="4"/>
  <c r="H37" i="4"/>
  <c r="H33" i="4"/>
  <c r="H32" i="4"/>
  <c r="H31" i="4"/>
  <c r="H29" i="4"/>
  <c r="H28" i="4"/>
  <c r="H27" i="4"/>
  <c r="H26" i="4"/>
  <c r="H25" i="4"/>
  <c r="H24" i="4"/>
  <c r="H23" i="4"/>
  <c r="H21" i="4"/>
  <c r="H20" i="4"/>
  <c r="H19" i="4"/>
  <c r="H18" i="4"/>
  <c r="H17" i="4"/>
  <c r="H15" i="4"/>
  <c r="H14" i="4"/>
  <c r="AB13" i="4"/>
  <c r="H13" i="4"/>
  <c r="AB10" i="4"/>
  <c r="N10" i="4"/>
  <c r="J147" i="4"/>
  <c r="I147" i="4"/>
  <c r="D147" i="4"/>
  <c r="G9" i="5" s="1"/>
  <c r="AC13" i="4" l="1"/>
  <c r="H30" i="4"/>
  <c r="H22" i="4"/>
  <c r="H130" i="4"/>
  <c r="H133" i="4"/>
  <c r="H34" i="4"/>
  <c r="H41" i="4"/>
  <c r="H44" i="4"/>
  <c r="H45" i="4"/>
  <c r="H48" i="4"/>
  <c r="H49" i="4"/>
  <c r="H89" i="4"/>
  <c r="H92" i="4"/>
  <c r="H93" i="4"/>
  <c r="H122" i="4"/>
  <c r="H126" i="4"/>
  <c r="AB147" i="4"/>
  <c r="AC10" i="4"/>
  <c r="H36" i="4"/>
  <c r="H10" i="4"/>
  <c r="H46" i="4"/>
  <c r="H35" i="4"/>
  <c r="H42" i="4"/>
  <c r="H94" i="4"/>
  <c r="H40" i="4"/>
  <c r="H90" i="4"/>
  <c r="H123" i="4"/>
  <c r="H127" i="4"/>
  <c r="H131" i="4"/>
  <c r="H135" i="4"/>
  <c r="H139" i="4"/>
  <c r="H143" i="4"/>
  <c r="AC147" i="4" l="1"/>
  <c r="H147" i="4"/>
  <c r="I6" i="5"/>
  <c r="I5" i="5"/>
  <c r="Z5" i="5" l="1"/>
  <c r="K11" i="5" l="1"/>
  <c r="I3" i="5" l="1"/>
  <c r="D3" i="4" s="1"/>
  <c r="I4" i="5"/>
  <c r="D4" i="4" s="1"/>
  <c r="A1" i="4"/>
  <c r="A3" i="4"/>
  <c r="C3" i="4"/>
  <c r="A4" i="4"/>
  <c r="C4" i="4"/>
  <c r="A5" i="4"/>
  <c r="C5" i="4"/>
  <c r="A6" i="4"/>
  <c r="C6" i="4"/>
  <c r="A7" i="4"/>
  <c r="C7" i="4"/>
  <c r="W115" i="4" l="1"/>
  <c r="AD115" i="4" s="1"/>
  <c r="W113" i="4"/>
  <c r="AD113" i="4" s="1"/>
  <c r="W112" i="4"/>
  <c r="AD112" i="4" s="1"/>
  <c r="W106" i="4"/>
  <c r="AD106" i="4" s="1"/>
  <c r="W99" i="4"/>
  <c r="AD99" i="4" s="1"/>
  <c r="W111" i="4"/>
  <c r="AD111" i="4" s="1"/>
  <c r="W98" i="4"/>
  <c r="AD98" i="4" s="1"/>
  <c r="W102" i="4"/>
  <c r="AD102" i="4" s="1"/>
  <c r="W105" i="4"/>
  <c r="AD105" i="4" s="1"/>
  <c r="W104" i="4"/>
  <c r="AD104" i="4" s="1"/>
  <c r="W95" i="4"/>
  <c r="AD95" i="4" s="1"/>
  <c r="W116" i="4"/>
  <c r="AD116" i="4" s="1"/>
  <c r="W109" i="4"/>
  <c r="AD109" i="4" s="1"/>
  <c r="W118" i="4"/>
  <c r="AD118" i="4" s="1"/>
  <c r="W103" i="4"/>
  <c r="AD103" i="4" s="1"/>
  <c r="W120" i="4"/>
  <c r="AD120" i="4" s="1"/>
  <c r="W108" i="4"/>
  <c r="AD108" i="4" s="1"/>
  <c r="W101" i="4"/>
  <c r="AD101" i="4" s="1"/>
  <c r="W96" i="4"/>
  <c r="AD96" i="4" s="1"/>
  <c r="W117" i="4"/>
  <c r="AD117" i="4" s="1"/>
  <c r="W119" i="4"/>
  <c r="AD119" i="4" s="1"/>
  <c r="W114" i="4"/>
  <c r="AD114" i="4" s="1"/>
  <c r="W107" i="4"/>
  <c r="AD107" i="4" s="1"/>
  <c r="W110" i="4"/>
  <c r="AD110" i="4" s="1"/>
  <c r="W97" i="4"/>
  <c r="AD97" i="4" s="1"/>
  <c r="W100" i="4"/>
  <c r="AD100" i="4" s="1"/>
  <c r="W55" i="4"/>
  <c r="AD55" i="4" s="1"/>
  <c r="W67" i="4"/>
  <c r="AD67" i="4" s="1"/>
  <c r="W75" i="4"/>
  <c r="AD75" i="4" s="1"/>
  <c r="W87" i="4"/>
  <c r="AD87" i="4" s="1"/>
  <c r="W50" i="4"/>
  <c r="AD50" i="4" s="1"/>
  <c r="W54" i="4"/>
  <c r="AD54" i="4" s="1"/>
  <c r="W59" i="4"/>
  <c r="AD59" i="4" s="1"/>
  <c r="W64" i="4"/>
  <c r="AD64" i="4" s="1"/>
  <c r="W66" i="4"/>
  <c r="AD66" i="4" s="1"/>
  <c r="W72" i="4"/>
  <c r="AD72" i="4" s="1"/>
  <c r="W74" i="4"/>
  <c r="AD74" i="4" s="1"/>
  <c r="W80" i="4"/>
  <c r="AD80" i="4" s="1"/>
  <c r="W82" i="4"/>
  <c r="AD82" i="4" s="1"/>
  <c r="W88" i="4"/>
  <c r="AD88" i="4" s="1"/>
  <c r="W58" i="4"/>
  <c r="AD58" i="4" s="1"/>
  <c r="W63" i="4"/>
  <c r="AD63" i="4" s="1"/>
  <c r="W71" i="4"/>
  <c r="AD71" i="4" s="1"/>
  <c r="W79" i="4"/>
  <c r="AD79" i="4" s="1"/>
  <c r="W62" i="4"/>
  <c r="AD62" i="4" s="1"/>
  <c r="W68" i="4"/>
  <c r="AD68" i="4" s="1"/>
  <c r="W70" i="4"/>
  <c r="AD70" i="4" s="1"/>
  <c r="W76" i="4"/>
  <c r="AD76" i="4" s="1"/>
  <c r="W78" i="4"/>
  <c r="AD78" i="4" s="1"/>
  <c r="W84" i="4"/>
  <c r="AD84" i="4" s="1"/>
  <c r="W86" i="4"/>
  <c r="AD86" i="4" s="1"/>
  <c r="W83" i="4"/>
  <c r="AD83" i="4" s="1"/>
  <c r="W53" i="4"/>
  <c r="AD53" i="4" s="1"/>
  <c r="W60" i="4"/>
  <c r="AD60" i="4" s="1"/>
  <c r="W73" i="4"/>
  <c r="AD73" i="4" s="1"/>
  <c r="W85" i="4"/>
  <c r="AD85" i="4" s="1"/>
  <c r="W56" i="4"/>
  <c r="AD56" i="4" s="1"/>
  <c r="W52" i="4"/>
  <c r="AD52" i="4" s="1"/>
  <c r="W77" i="4"/>
  <c r="AD77" i="4" s="1"/>
  <c r="W65" i="4"/>
  <c r="AD65" i="4" s="1"/>
  <c r="W69" i="4"/>
  <c r="AD69" i="4" s="1"/>
  <c r="W61" i="4"/>
  <c r="AD61" i="4" s="1"/>
  <c r="W51" i="4"/>
  <c r="AD51" i="4" s="1"/>
  <c r="W81" i="4"/>
  <c r="AD81" i="4" s="1"/>
  <c r="W57" i="4"/>
  <c r="AD57" i="4" s="1"/>
  <c r="W11" i="4"/>
  <c r="AD11" i="4" s="1"/>
  <c r="W12" i="4"/>
  <c r="AD12" i="4" s="1"/>
  <c r="W140" i="4"/>
  <c r="AD140" i="4" s="1"/>
  <c r="W17" i="4"/>
  <c r="AD17" i="4" s="1"/>
  <c r="W134" i="4"/>
  <c r="AD134" i="4" s="1"/>
  <c r="W93" i="4"/>
  <c r="AD93" i="4" s="1"/>
  <c r="W90" i="4"/>
  <c r="AD90" i="4" s="1"/>
  <c r="W125" i="4"/>
  <c r="AD125" i="4" s="1"/>
  <c r="W34" i="4"/>
  <c r="AD34" i="4" s="1"/>
  <c r="W31" i="4"/>
  <c r="AD31" i="4" s="1"/>
  <c r="W141" i="4"/>
  <c r="AD141" i="4" s="1"/>
  <c r="W130" i="4"/>
  <c r="AD130" i="4" s="1"/>
  <c r="W89" i="4"/>
  <c r="AD89" i="4" s="1"/>
  <c r="W127" i="4"/>
  <c r="AD127" i="4" s="1"/>
  <c r="W124" i="4"/>
  <c r="AD124" i="4" s="1"/>
  <c r="W137" i="4"/>
  <c r="AD137" i="4" s="1"/>
  <c r="W121" i="4"/>
  <c r="AD121" i="4" s="1"/>
  <c r="W47" i="4"/>
  <c r="AD47" i="4" s="1"/>
  <c r="W40" i="4"/>
  <c r="AD40" i="4" s="1"/>
  <c r="W32" i="4"/>
  <c r="AD32" i="4" s="1"/>
  <c r="W24" i="4"/>
  <c r="AD24" i="4" s="1"/>
  <c r="W43" i="4"/>
  <c r="AD43" i="4" s="1"/>
  <c r="W37" i="4"/>
  <c r="AD37" i="4" s="1"/>
  <c r="W29" i="4"/>
  <c r="AD29" i="4" s="1"/>
  <c r="W21" i="4"/>
  <c r="AD21" i="4" s="1"/>
  <c r="W144" i="4"/>
  <c r="AD144" i="4" s="1"/>
  <c r="W126" i="4"/>
  <c r="AD126" i="4" s="1"/>
  <c r="W49" i="4"/>
  <c r="AD49" i="4" s="1"/>
  <c r="W139" i="4"/>
  <c r="AD139" i="4" s="1"/>
  <c r="W123" i="4"/>
  <c r="AD123" i="4" s="1"/>
  <c r="W136" i="4"/>
  <c r="AD136" i="4" s="1"/>
  <c r="W133" i="4"/>
  <c r="AD133" i="4" s="1"/>
  <c r="W92" i="4"/>
  <c r="AD92" i="4" s="1"/>
  <c r="W44" i="4"/>
  <c r="AD44" i="4" s="1"/>
  <c r="W38" i="4"/>
  <c r="AD38" i="4" s="1"/>
  <c r="W30" i="4"/>
  <c r="AD30" i="4" s="1"/>
  <c r="W22" i="4"/>
  <c r="AD22" i="4" s="1"/>
  <c r="W15" i="4"/>
  <c r="AD15" i="4" s="1"/>
  <c r="W41" i="4"/>
  <c r="AD41" i="4" s="1"/>
  <c r="W35" i="4"/>
  <c r="AD35" i="4" s="1"/>
  <c r="W27" i="4"/>
  <c r="AD27" i="4" s="1"/>
  <c r="W19" i="4"/>
  <c r="AD19" i="4" s="1"/>
  <c r="W143" i="4"/>
  <c r="AD143" i="4" s="1"/>
  <c r="W138" i="4"/>
  <c r="AD138" i="4" s="1"/>
  <c r="W122" i="4"/>
  <c r="AD122" i="4" s="1"/>
  <c r="W135" i="4"/>
  <c r="AD135" i="4" s="1"/>
  <c r="W94" i="4"/>
  <c r="AD94" i="4" s="1"/>
  <c r="W132" i="4"/>
  <c r="AD132" i="4" s="1"/>
  <c r="W91" i="4"/>
  <c r="AD91" i="4" s="1"/>
  <c r="W129" i="4"/>
  <c r="AD129" i="4" s="1"/>
  <c r="W42" i="4"/>
  <c r="AD42" i="4" s="1"/>
  <c r="W36" i="4"/>
  <c r="AD36" i="4" s="1"/>
  <c r="W28" i="4"/>
  <c r="AD28" i="4" s="1"/>
  <c r="W20" i="4"/>
  <c r="AD20" i="4" s="1"/>
  <c r="W14" i="4"/>
  <c r="AD14" i="4" s="1"/>
  <c r="W46" i="4"/>
  <c r="AD46" i="4" s="1"/>
  <c r="W33" i="4"/>
  <c r="AD33" i="4" s="1"/>
  <c r="W25" i="4"/>
  <c r="AD25" i="4" s="1"/>
  <c r="W146" i="4"/>
  <c r="AD146" i="4" s="1"/>
  <c r="W142" i="4"/>
  <c r="AD142" i="4" s="1"/>
  <c r="W131" i="4"/>
  <c r="AD131" i="4" s="1"/>
  <c r="W128" i="4"/>
  <c r="AD128" i="4" s="1"/>
  <c r="W48" i="4"/>
  <c r="AD48" i="4" s="1"/>
  <c r="W26" i="4"/>
  <c r="AD26" i="4" s="1"/>
  <c r="W18" i="4"/>
  <c r="AD18" i="4" s="1"/>
  <c r="W45" i="4"/>
  <c r="AD45" i="4" s="1"/>
  <c r="W39" i="4"/>
  <c r="AD39" i="4" s="1"/>
  <c r="W23" i="4"/>
  <c r="AD23" i="4" s="1"/>
  <c r="W145" i="4"/>
  <c r="AD145" i="4" s="1"/>
  <c r="W13" i="4"/>
  <c r="AD13" i="4" s="1"/>
  <c r="W10" i="4"/>
  <c r="W147" i="4" l="1"/>
  <c r="AD10" i="4"/>
  <c r="AD147" i="4" s="1"/>
  <c r="Q9" i="5" l="1"/>
  <c r="AK16" i="4"/>
  <c r="AK97" i="4"/>
  <c r="AK111" i="4"/>
  <c r="AK100" i="4"/>
  <c r="AK99" i="4"/>
  <c r="AK116" i="4"/>
  <c r="AK96" i="4"/>
  <c r="AK108" i="4"/>
  <c r="AK109" i="4"/>
  <c r="AK117" i="4"/>
  <c r="AK101" i="4"/>
  <c r="AK107" i="4"/>
  <c r="AK115" i="4"/>
  <c r="AK119" i="4"/>
  <c r="AK103" i="4"/>
  <c r="AK106" i="4"/>
  <c r="AK110" i="4"/>
  <c r="AK120" i="4"/>
  <c r="AK105" i="4"/>
  <c r="AK114" i="4"/>
  <c r="AK113" i="4"/>
  <c r="AK98" i="4"/>
  <c r="AK112" i="4"/>
  <c r="AK118" i="4"/>
  <c r="AK104" i="4"/>
  <c r="AK102" i="4"/>
  <c r="AK95" i="4"/>
  <c r="AK61" i="4"/>
  <c r="AK57" i="4"/>
  <c r="AK80" i="4"/>
  <c r="AK50" i="4"/>
  <c r="AK76" i="4"/>
  <c r="AK64" i="4"/>
  <c r="AK56" i="4"/>
  <c r="AK85" i="4"/>
  <c r="AK68" i="4"/>
  <c r="AK77" i="4"/>
  <c r="AK73" i="4"/>
  <c r="AK69" i="4"/>
  <c r="AK60" i="4"/>
  <c r="AK65" i="4"/>
  <c r="AK84" i="4"/>
  <c r="AK53" i="4"/>
  <c r="AK62" i="4"/>
  <c r="AK87" i="4"/>
  <c r="AK58" i="4"/>
  <c r="AK88" i="4"/>
  <c r="AK72" i="4"/>
  <c r="AK52" i="4"/>
  <c r="AK81" i="4"/>
  <c r="AK63" i="4"/>
  <c r="AK83" i="4"/>
  <c r="AK78" i="4"/>
  <c r="AK70" i="4"/>
  <c r="AK82" i="4"/>
  <c r="AK74" i="4"/>
  <c r="AK79" i="4"/>
  <c r="AK71" i="4"/>
  <c r="AK75" i="4"/>
  <c r="AK67" i="4"/>
  <c r="AK54" i="4"/>
  <c r="AK59" i="4"/>
  <c r="AK86" i="4"/>
  <c r="AK55" i="4"/>
  <c r="AK51" i="4"/>
  <c r="AK66" i="4"/>
  <c r="AK11" i="4"/>
  <c r="AK12" i="4"/>
  <c r="AK131" i="4"/>
  <c r="AK126" i="4"/>
  <c r="AK137" i="4"/>
  <c r="AK121" i="4"/>
  <c r="AK44" i="4"/>
  <c r="AK30" i="4"/>
  <c r="AK14" i="4"/>
  <c r="AK133" i="4"/>
  <c r="AK92" i="4"/>
  <c r="AK26" i="4"/>
  <c r="AK144" i="4"/>
  <c r="AK89" i="4"/>
  <c r="AK39" i="4"/>
  <c r="AK23" i="4"/>
  <c r="AK142" i="4"/>
  <c r="AK48" i="4"/>
  <c r="AK34" i="4"/>
  <c r="AK18" i="4"/>
  <c r="AK143" i="4"/>
  <c r="AK124" i="4"/>
  <c r="AK136" i="4"/>
  <c r="AK43" i="4"/>
  <c r="AK29" i="4"/>
  <c r="AK132" i="4"/>
  <c r="AK91" i="4"/>
  <c r="AK25" i="4"/>
  <c r="AK129" i="4"/>
  <c r="AK38" i="4"/>
  <c r="AK22" i="4"/>
  <c r="AK134" i="4"/>
  <c r="AK140" i="4"/>
  <c r="AK47" i="4"/>
  <c r="AK33" i="4"/>
  <c r="AK17" i="4"/>
  <c r="AK135" i="4"/>
  <c r="AK141" i="4"/>
  <c r="AK49" i="4"/>
  <c r="AK139" i="4"/>
  <c r="AK123" i="4"/>
  <c r="AK46" i="4"/>
  <c r="AK32" i="4"/>
  <c r="AK94" i="4"/>
  <c r="AK42" i="4"/>
  <c r="AK28" i="4"/>
  <c r="AK128" i="4"/>
  <c r="AK37" i="4"/>
  <c r="AK21" i="4"/>
  <c r="AK145" i="4"/>
  <c r="AK125" i="4"/>
  <c r="AK36" i="4"/>
  <c r="AK20" i="4"/>
  <c r="AK146" i="4"/>
  <c r="AK127" i="4"/>
  <c r="AK138" i="4"/>
  <c r="AK122" i="4"/>
  <c r="AK45" i="4"/>
  <c r="AK31" i="4"/>
  <c r="AK15" i="4"/>
  <c r="AK93" i="4"/>
  <c r="AK41" i="4"/>
  <c r="AK27" i="4"/>
  <c r="AK90" i="4"/>
  <c r="AK40" i="4"/>
  <c r="AK24" i="4"/>
  <c r="AK19" i="4"/>
  <c r="AK130" i="4"/>
  <c r="AK35" i="4"/>
  <c r="AL9" i="5"/>
  <c r="O9" i="5"/>
  <c r="AK10" i="4"/>
  <c r="AK13" i="4"/>
  <c r="AA9" i="5" l="1"/>
  <c r="AG9" i="5" s="1"/>
  <c r="AJ9" i="5"/>
  <c r="S9" i="5"/>
  <c r="U9" i="5" s="1"/>
  <c r="W9" i="5"/>
  <c r="AC9" i="5" s="1"/>
  <c r="Y9" i="5"/>
  <c r="AE9" i="5" s="1"/>
  <c r="AK147" i="4"/>
</calcChain>
</file>

<file path=xl/sharedStrings.xml><?xml version="1.0" encoding="utf-8"?>
<sst xmlns="http://schemas.openxmlformats.org/spreadsheetml/2006/main" count="779" uniqueCount="299">
  <si>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</si>
  <si>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</si>
  <si>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</si>
  <si>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</si>
  <si>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</si>
  <si>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</si>
  <si>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</si>
  <si>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</si>
  <si>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</si>
  <si>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</si>
  <si>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</si>
  <si>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</si>
  <si>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</si>
  <si>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</si>
  <si>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</si>
  <si>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</si>
  <si>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</si>
  <si>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</si>
  <si>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</si>
  <si>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</si>
  <si>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</si>
  <si>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</si>
  <si>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</si>
  <si>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</si>
  <si>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</si>
  <si>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</si>
  <si>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</si>
  <si>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</si>
  <si>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</si>
  <si>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</si>
  <si>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</si>
  <si>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</si>
  <si>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</si>
  <si>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</si>
  <si>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</si>
  <si>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</si>
  <si>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</si>
  <si>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</si>
  <si>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</si>
  <si>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</si>
  <si>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</si>
  <si>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</si>
  <si>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</si>
  <si>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</si>
  <si>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</si>
  <si>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</si>
  <si>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</si>
  <si>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</si>
  <si>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</si>
  <si>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</si>
  <si>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</si>
  <si>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</si>
  <si>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</si>
  <si>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</si>
  <si>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</si>
  <si>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</si>
  <si>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</si>
  <si>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</si>
  <si>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</si>
  <si>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</si>
  <si>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</si>
  <si>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</si>
  <si>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</si>
  <si>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</si>
  <si>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</si>
  <si>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</si>
  <si>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</si>
  <si>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</si>
  <si>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</si>
  <si>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</si>
  <si>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</si>
  <si>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</si>
  <si>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</si>
  <si>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</si>
  <si>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</si>
  <si>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</si>
  <si>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</si>
  <si>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</si>
  <si>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</si>
  <si>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</si>
  <si>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</si>
  <si>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</si>
  <si>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</si>
  <si>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</si>
  <si>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</si>
  <si>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</si>
  <si>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</si>
  <si>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</si>
  <si>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</si>
  <si>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</si>
  <si>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</si>
  <si>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</si>
  <si>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</si>
  <si>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</si>
  <si>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</si>
  <si>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</si>
  <si>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</si>
  <si>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</si>
  <si>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</si>
  <si>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</si>
  <si>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</si>
  <si>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</si>
  <si>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</si>
  <si>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</si>
  <si>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</si>
  <si>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</si>
  <si>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</si>
  <si>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</si>
  <si>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</si>
  <si>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</si>
  <si>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</si>
  <si>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</si>
  <si>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</si>
  <si>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</si>
  <si>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</si>
  <si>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</si>
  <si>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</si>
  <si>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</si>
  <si>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</si>
  <si>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</si>
  <si>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</si>
  <si>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</si>
  <si>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</si>
  <si>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</si>
  <si>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</si>
  <si>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</si>
  <si>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</si>
  <si>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</si>
  <si>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</si>
  <si>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</si>
  <si>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</si>
  <si>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</si>
  <si>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</si>
  <si>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</si>
  <si>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</si>
  <si>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MOD4308009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</si>
  <si>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</si>
  <si>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</si>
  <si>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</si>
  <si>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</si>
  <si>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</si>
  <si>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FRR004 - F.CNC.V.20.03 FRESADO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</si>
  <si>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</si>
  <si>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</si>
  <si>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</si>
  <si>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</si>
  <si>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</si>
  <si>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</si>
  <si>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</si>
  <si>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</si>
  <si>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</si>
  <si>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</si>
  <si>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</si>
  <si>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</si>
  <si>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</si>
  <si>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</si>
  <si>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</si>
  <si>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</si>
  <si>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</si>
  <si>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</si>
  <si>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</si>
  <si>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</si>
  <si>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</si>
  <si>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</si>
  <si>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</si>
  <si>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MOD4301016</t>
  </si>
  <si>
    <t>FRM002 - FRM002 CENTRO DE USINAGEM MAZAK FF-510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</si>
  <si>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</si>
  <si>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</si>
  <si>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</si>
  <si>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</si>
  <si>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</si>
  <si>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</si>
  <si>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</si>
  <si>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</si>
  <si>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</si>
  <si>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</si>
  <si>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</si>
  <si>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</si>
  <si>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PC</t>
  </si>
  <si>
    <t>KG</t>
  </si>
  <si>
    <t>UN</t>
  </si>
  <si>
    <t>L</t>
  </si>
  <si>
    <t>1</t>
  </si>
  <si>
    <t>2</t>
  </si>
  <si>
    <t>3</t>
  </si>
  <si>
    <t>4</t>
  </si>
  <si>
    <t>HR</t>
  </si>
  <si>
    <t>ACO RED LAM 20MNCR5 Ø41,27 X 1</t>
  </si>
  <si>
    <t>CEMENTADO - EIXO DO CARRETEL T</t>
  </si>
  <si>
    <t>USINADO - EIXO DO CARRETEL TF</t>
  </si>
  <si>
    <t>GUARNICAO DA BASE TF70 (0,397)</t>
  </si>
  <si>
    <t>ETIQUETAS TERMICAS ADESIVA COU</t>
  </si>
  <si>
    <t>GRAXA SABAO DE LITIO NLGI2 1KG</t>
  </si>
  <si>
    <t>THINNER GOL 7300 5 LT</t>
  </si>
  <si>
    <t>THINNER RECICLAVEL DE 5LITRO</t>
  </si>
  <si>
    <t>SACO PLASTICO PE 19X30X0,3</t>
  </si>
  <si>
    <t>SACO PLASTICO PE 35X50X0,15</t>
  </si>
  <si>
    <t>SACO PLASTICO PE 16 X 22,5 X0,</t>
  </si>
  <si>
    <t>PLAQUETA DE IDENTIFICACAO DE A</t>
  </si>
  <si>
    <t>CONECTOR PNEUMATICO MACHO1/4(T</t>
  </si>
  <si>
    <t>ROLAMENTO ROLETES CONICOS 20X5</t>
  </si>
  <si>
    <t>CAIXA ONDA BC Nº 15 265X240X19</t>
  </si>
  <si>
    <t>ACO RED LAM SAE 1045 Ø41,27 X</t>
  </si>
  <si>
    <t>BUJAO 3/4 - 14 NPTF DIN 906</t>
  </si>
  <si>
    <t>IMPOSTO</t>
  </si>
  <si>
    <t>LUCRO</t>
  </si>
  <si>
    <t>COMISSÃO</t>
  </si>
  <si>
    <t>75Y60/P37</t>
  </si>
  <si>
    <t>75202199001-CM</t>
  </si>
  <si>
    <t>75202199001-US</t>
  </si>
  <si>
    <t>MOD4303003</t>
  </si>
  <si>
    <t>99511001022112</t>
  </si>
  <si>
    <t>75202201001</t>
  </si>
  <si>
    <t>75202201001-CM</t>
  </si>
  <si>
    <t>75202201001-US</t>
  </si>
  <si>
    <t>MOD4308072</t>
  </si>
  <si>
    <t>MOD4305016</t>
  </si>
  <si>
    <t>MOD4308017</t>
  </si>
  <si>
    <t>99511001041161</t>
  </si>
  <si>
    <t>75205199001</t>
  </si>
  <si>
    <t>75208199001</t>
  </si>
  <si>
    <t>75208199001-US</t>
  </si>
  <si>
    <t>MOD4308068</t>
  </si>
  <si>
    <t>99511003047019</t>
  </si>
  <si>
    <t>75208199001-ZN</t>
  </si>
  <si>
    <t>75212199002</t>
  </si>
  <si>
    <t>75213101001</t>
  </si>
  <si>
    <t>75213101001-CM</t>
  </si>
  <si>
    <t>75213101001-US</t>
  </si>
  <si>
    <t>MOD4308023</t>
  </si>
  <si>
    <t>99511001127056</t>
  </si>
  <si>
    <t>75214199001</t>
  </si>
  <si>
    <t>75214199001-CM</t>
  </si>
  <si>
    <t>75214199001-US</t>
  </si>
  <si>
    <t>99511001083036</t>
  </si>
  <si>
    <t>75215199001</t>
  </si>
  <si>
    <t>99511003041128</t>
  </si>
  <si>
    <t>75608201001</t>
  </si>
  <si>
    <t>75608201001-ZN</t>
  </si>
  <si>
    <t>8890059035</t>
  </si>
  <si>
    <t>TOMADA DE FORCA - 75Y60/P37  D</t>
  </si>
  <si>
    <t>EIXO DO CARRETEL TF 75 DELIVER</t>
  </si>
  <si>
    <t>ACO RED LAM 20MNCR5 Ø22,22 X 1</t>
  </si>
  <si>
    <t>EIXO DE SAIDA 13Z</t>
  </si>
  <si>
    <t>CEMENTADO - EIXO DE SAIDA 13Z</t>
  </si>
  <si>
    <t>USINADO - EIXO DE SAIDA 13Z</t>
  </si>
  <si>
    <t>CARCACA USINADA TF 75 DELIVERY</t>
  </si>
  <si>
    <t>CARCACA LATERAL FUNDIDA  DELIV</t>
  </si>
  <si>
    <t>FLANGE USINADA SAE B 13 Z  DEL</t>
  </si>
  <si>
    <t>FLANGE FUNDIDA SAE B 13 Z  TF</t>
  </si>
  <si>
    <t>TAMPA TF75 DELIVERY</t>
  </si>
  <si>
    <t>USINADO - TAMPA DO PISTAO - TF</t>
  </si>
  <si>
    <t>ACO RED LAM SAE 1045 Ø47,62 X</t>
  </si>
  <si>
    <t>ZINCADO - TAMPA DO PISTAO -TF</t>
  </si>
  <si>
    <t>GARFO DE ENGATE USINADO TF 75</t>
  </si>
  <si>
    <t>GARFO DE ENGATE FUNDIDO TF75 D</t>
  </si>
  <si>
    <t>CARRETEL DE ENGRENAGENS 31Z DE</t>
  </si>
  <si>
    <t>CEMENTADO - ENGRENAGEM 31Z - E</t>
  </si>
  <si>
    <t>USINADO - ENGRENAGEM 31Z - ESO</t>
  </si>
  <si>
    <t>ACO RED LAM 20MNCR5 Ø127 X 56M</t>
  </si>
  <si>
    <t>ENGRENAGEM MOVEL 20Z TF 75 DEL</t>
  </si>
  <si>
    <t>CEMENTADO - ENGRENAGEM MOVEL 2</t>
  </si>
  <si>
    <t>USINADO - ENGRENAGEM MOVEL 20Z</t>
  </si>
  <si>
    <t>ACO RED LAM 20MNCR5 Ø82,55 X 3</t>
  </si>
  <si>
    <t>EMBOLO DE ACIONAMENTO TF75 DEL</t>
  </si>
  <si>
    <t>TAMPA LATERAL ZINCADA  - DELIV</t>
  </si>
  <si>
    <t>CORTADO DE CHAPA  LATERAL  LAS</t>
  </si>
  <si>
    <t>ZINCADO - TAMPA LATERAL TF 75</t>
  </si>
  <si>
    <t>KIT TOMADA  DE FORCA T75 DELIV</t>
  </si>
  <si>
    <t>RIBBON CERA 110X450 PREMIUM G5</t>
  </si>
  <si>
    <t>PAPELAO ONDULADO 60 CM</t>
  </si>
  <si>
    <t>SACO PLASTICO PE 25 X 36 X 0,2</t>
  </si>
  <si>
    <t>PORCA SEXTAVADA TORQUE G8 3/8-</t>
  </si>
  <si>
    <t>ARRUELA M10 CONICA ESTRIADA VS</t>
  </si>
  <si>
    <t>PRISIONEIRO M10X1,5 X 3/8 UNF</t>
  </si>
  <si>
    <t>ADESIVO ANAEROBICO  CIS 177 -</t>
  </si>
  <si>
    <t>ANEL ORING 13,94X2,62 REF. PAR</t>
  </si>
  <si>
    <t>ANEL ORING 37,69 X 3,53 REF.PA</t>
  </si>
  <si>
    <t>ANEL ORING 66,34 X 2,62 REF.PA</t>
  </si>
  <si>
    <t>ANEL ORING 32,92 X 3,53 REF.PA</t>
  </si>
  <si>
    <t>RETENTOR BRG 35X50X8 DELIVERY</t>
  </si>
  <si>
    <t>PARAFUSO ALLEN G10 SXT INTERNO</t>
  </si>
  <si>
    <t>PARAFUSO SEXT. M12X1.75X40 CLA</t>
  </si>
  <si>
    <t>PARAFUSO G5 SEXTAVADO CONICO S</t>
  </si>
  <si>
    <t>ARRUELA LISA M12 - DIN 125 13X</t>
  </si>
  <si>
    <t>ANEL ELASTICO RENO PARA FURO D</t>
  </si>
  <si>
    <t>ANEL DE RETENCAO P/ FURO I-051</t>
  </si>
  <si>
    <t>PARAFUSO ALLEN SEM CABECA M6X1</t>
  </si>
  <si>
    <t>ROLAMENTO 1 CARREIRA ESFERAS 3</t>
  </si>
  <si>
    <t>ROLAMENTO 1 CARREIRA ESFERAS 2</t>
  </si>
  <si>
    <t>MOLA DE COMPRESSAO - Ø36X76 -</t>
  </si>
  <si>
    <t xml:space="preserve">RET001 - RETIFICA CONV CILINDRICA VIGORELLI   </t>
  </si>
  <si>
    <t xml:space="preserve">TOD007 - TORNO CNC DOOSAN LYNX 220                </t>
  </si>
  <si>
    <t xml:space="preserve">TOI012 - TORNO INDEX 9 MC170                 </t>
  </si>
  <si>
    <t xml:space="preserve">GEC002 - GERADORA CV CARACOL CLEVELAND - 1    </t>
  </si>
  <si>
    <t xml:space="preserve">TOH009 - TORNO CNC HYUNDAI 9 SKT21                </t>
  </si>
  <si>
    <t xml:space="preserve">F.CV.V.20.09 GERADORA CV FELLOWS VISION FS-6 - 1 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</si>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</sst>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  <numFmt numFmtId="171" formatCode="&quot;R$&quot;\ #,##0.00"/>
    <numFmt numFmtId="172" formatCode="000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18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10" fontId="6" fillId="0" borderId="20" xfId="2" applyNumberFormat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2" fontId="6" fillId="0" borderId="26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49" fontId="2" fillId="0" borderId="2" xfId="1" applyNumberFormat="1" applyFont="1" applyBorder="1" applyAlignment="1">
      <alignment horizontal="left"/>
    </xf>
    <xf numFmtId="0" fontId="2" fillId="0" borderId="8" xfId="1" quotePrefix="1" applyFont="1" applyBorder="1" applyAlignment="1">
      <alignment horizontal="left"/>
    </xf>
    <xf numFmtId="1" fontId="6" fillId="8" borderId="14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right"/>
    </xf>
    <xf numFmtId="3" fontId="4" fillId="10" borderId="12" xfId="1" applyNumberFormat="1" applyFont="1" applyFill="1" applyBorder="1" applyAlignment="1">
      <alignment horizontal="center" vertical="center"/>
    </xf>
    <xf numFmtId="1" fontId="4" fillId="10" borderId="12" xfId="1" applyNumberFormat="1" applyFont="1" applyFill="1" applyBorder="1" applyAlignment="1">
      <alignment horizontal="left" vertical="center"/>
    </xf>
    <xf numFmtId="3" fontId="4" fillId="10" borderId="0" xfId="1" applyNumberFormat="1" applyFont="1" applyFill="1" applyBorder="1" applyAlignment="1">
      <alignment horizontal="center" vertical="center"/>
    </xf>
    <xf numFmtId="0" fontId="2" fillId="0" borderId="2" xfId="1" applyNumberFormat="1" applyFont="1" applyBorder="1" applyAlignment="1">
      <alignment horizontal="left"/>
    </xf>
    <xf numFmtId="167" fontId="4" fillId="3" borderId="42" xfId="0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3" fontId="4" fillId="5" borderId="12" xfId="1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center" vertical="center" wrapText="1"/>
    </xf>
    <xf numFmtId="10" fontId="6" fillId="5" borderId="12" xfId="5" applyNumberFormat="1" applyFont="1" applyFill="1" applyBorder="1" applyAlignment="1">
      <alignment horizontal="center"/>
    </xf>
    <xf numFmtId="170" fontId="6" fillId="11" borderId="12" xfId="5" applyNumberFormat="1" applyFont="1" applyFill="1" applyBorder="1" applyAlignment="1">
      <alignment horizontal="center"/>
    </xf>
    <xf numFmtId="0" fontId="4" fillId="10" borderId="12" xfId="1" applyFont="1" applyFill="1" applyBorder="1" applyAlignment="1">
      <alignment horizontal="center" vertical="center"/>
    </xf>
    <xf numFmtId="170" fontId="6" fillId="10" borderId="12" xfId="5" applyNumberFormat="1" applyFont="1" applyFill="1" applyBorder="1" applyAlignment="1">
      <alignment horizontal="center"/>
    </xf>
    <xf numFmtId="170" fontId="6" fillId="5" borderId="6" xfId="5" applyNumberFormat="1" applyFont="1" applyFill="1" applyBorder="1" applyAlignment="1">
      <alignment horizontal="center"/>
    </xf>
    <xf numFmtId="170" fontId="6" fillId="43" borderId="44" xfId="5" applyNumberFormat="1" applyFont="1" applyFill="1" applyBorder="1" applyAlignment="1">
      <alignment horizontal="center"/>
    </xf>
    <xf numFmtId="1" fontId="4" fillId="10" borderId="12" xfId="1" applyNumberFormat="1" applyFont="1" applyFill="1" applyBorder="1" applyAlignment="1">
      <alignment horizontal="center" vertical="center"/>
    </xf>
    <xf numFmtId="167" fontId="4" fillId="5" borderId="1" xfId="1" applyNumberFormat="1" applyFont="1" applyFill="1" applyBorder="1" applyAlignment="1">
      <alignment horizontal="center" vertical="center"/>
    </xf>
    <xf numFmtId="1" fontId="4" fillId="5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0" borderId="45" xfId="1" applyFont="1" applyBorder="1" applyAlignment="1">
      <alignment horizontal="left"/>
    </xf>
    <xf numFmtId="10" fontId="6" fillId="43" borderId="43" xfId="1" applyNumberFormat="1" applyFont="1" applyFill="1" applyBorder="1" applyAlignment="1">
      <alignment horizontal="center"/>
    </xf>
    <xf numFmtId="171" fontId="6" fillId="11" borderId="5" xfId="5" applyNumberFormat="1" applyFont="1" applyFill="1" applyBorder="1" applyAlignment="1">
      <alignment horizontal="center"/>
    </xf>
    <xf numFmtId="170" fontId="6" fillId="11" borderId="43" xfId="5" applyNumberFormat="1" applyFont="1" applyFill="1" applyBorder="1" applyAlignment="1">
      <alignment horizontal="center"/>
    </xf>
    <xf numFmtId="0" fontId="10" fillId="0" borderId="14" xfId="1" applyFont="1" applyFill="1" applyBorder="1" applyAlignment="1">
      <alignment horizontal="center" vertical="center" wrapText="1"/>
    </xf>
    <xf numFmtId="1" fontId="4" fillId="3" borderId="1" xfId="0" quotePrefix="1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1" fontId="2" fillId="2" borderId="2" xfId="1" applyNumberFormat="1" applyFont="1" applyFill="1" applyBorder="1" applyAlignment="1">
      <alignment horizontal="left"/>
    </xf>
    <xf numFmtId="172" fontId="2" fillId="0" borderId="2" xfId="1" quotePrefix="1" applyNumberFormat="1" applyFont="1" applyBorder="1" applyAlignment="1">
      <alignment horizontal="left"/>
    </xf>
    <xf numFmtId="0" fontId="2" fillId="0" borderId="2" xfId="1" quotePrefix="1" applyNumberFormat="1" applyFont="1" applyBorder="1" applyAlignment="1">
      <alignment horizontal="left"/>
    </xf>
    <xf numFmtId="171" fontId="2" fillId="8" borderId="2" xfId="1" applyNumberFormat="1" applyFont="1" applyFill="1" applyBorder="1" applyAlignment="1">
      <alignment horizontal="left"/>
    </xf>
    <xf numFmtId="0" fontId="10" fillId="0" borderId="0" xfId="1" applyFont="1" applyFill="1" applyAlignment="1">
      <alignment horizontal="center"/>
    </xf>
    <xf numFmtId="0" fontId="4" fillId="3" borderId="1" xfId="0" applyNumberFormat="1" applyFont="1" applyFill="1" applyBorder="1" applyAlignment="1">
      <alignment horizontal="right" vertical="center" wrapText="1"/>
    </xf>
    <xf numFmtId="0" fontId="4" fillId="3" borderId="1" xfId="0" quotePrefix="1" applyNumberFormat="1" applyFont="1" applyFill="1" applyBorder="1" applyAlignment="1">
      <alignment horizontal="right" vertical="center" wrapText="1"/>
    </xf>
    <xf numFmtId="1" fontId="4" fillId="3" borderId="1" xfId="0" quotePrefix="1" applyNumberFormat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0" fontId="10" fillId="0" borderId="15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6"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3"/>
  <sheetViews>
    <sheetView showGridLines="0" zoomScaleNormal="100" workbookViewId="0">
      <selection activeCell="O9" sqref="O9"/>
    </sheetView>
  </sheetViews>
  <sheetFormatPr defaultColWidth="9.109375" defaultRowHeight="10.199999999999999" x14ac:dyDescent="0.2"/>
  <cols>
    <col min="1" max="1" width="7.6640625" style="104" customWidth="1"/>
    <col min="2" max="2" width="1.6640625" style="104" customWidth="1"/>
    <col min="3" max="3" width="14.33203125" style="104" hidden="1" customWidth="1"/>
    <col min="4" max="4" width="1.6640625" style="104" customWidth="1"/>
    <col min="5" max="5" width="13.5546875" style="104" customWidth="1"/>
    <col min="6" max="6" width="1.6640625" style="104" customWidth="1"/>
    <col min="7" max="7" width="45.5546875" style="104" customWidth="1"/>
    <col min="8" max="8" width="1.6640625" style="104" customWidth="1"/>
    <col min="9" max="9" width="9.109375" style="104"/>
    <col min="10" max="10" width="1.6640625" style="104" customWidth="1"/>
    <col min="11" max="11" width="6.88671875" style="104" customWidth="1"/>
    <col min="12" max="12" width="1.6640625" style="104" customWidth="1"/>
    <col min="13" max="13" width="8.33203125" style="104" customWidth="1"/>
    <col min="14" max="14" width="1.6640625" style="104" customWidth="1"/>
    <col min="15" max="15" width="8.5546875" style="104" customWidth="1"/>
    <col min="16" max="16" width="1.6640625" style="104" customWidth="1"/>
    <col min="17" max="17" width="11.6640625" style="104" customWidth="1"/>
    <col min="18" max="18" width="1.6640625" style="104" customWidth="1"/>
    <col min="19" max="19" width="9.33203125" style="104" customWidth="1"/>
    <col min="20" max="20" width="1.6640625" style="104" customWidth="1"/>
    <col min="21" max="21" width="8.33203125" style="104" customWidth="1"/>
    <col min="22" max="22" width="1.6640625" style="104" customWidth="1"/>
    <col min="23" max="23" width="8.5546875" style="104" customWidth="1"/>
    <col min="24" max="24" width="1.6640625" style="104" customWidth="1"/>
    <col min="25" max="25" width="9.109375" style="104"/>
    <col min="26" max="26" width="1.6640625" style="104" customWidth="1"/>
    <col min="27" max="27" width="11" style="104" customWidth="1"/>
    <col min="28" max="28" width="1.6640625" style="104" customWidth="1"/>
    <col min="29" max="29" width="8.6640625" style="104" customWidth="1"/>
    <col min="30" max="30" width="1.6640625" style="104" customWidth="1"/>
    <col min="31" max="31" width="10.33203125" style="104" customWidth="1"/>
    <col min="32" max="32" width="1.6640625" style="104" customWidth="1"/>
    <col min="33" max="33" width="11" style="104" customWidth="1"/>
    <col min="34" max="34" width="1.6640625" style="140" customWidth="1"/>
    <col min="35" max="35" width="9.109375" style="104"/>
    <col min="36" max="36" width="9.109375" style="140"/>
    <col min="37" max="38" width="10.33203125" style="104" customWidth="1"/>
    <col min="39" max="16384" width="9.109375" style="104"/>
  </cols>
  <sheetData>
    <row r="1" spans="1:38" ht="13.2" x14ac:dyDescent="0.25">
      <c r="A1" s="132"/>
    </row>
    <row r="2" spans="1:38" ht="10.8" thickBot="1" x14ac:dyDescent="0.25"/>
    <row r="3" spans="1:38" ht="11.25" customHeight="1" x14ac:dyDescent="0.2">
      <c r="A3" s="131" t="s">
        <v>106</v>
      </c>
      <c r="B3" s="130"/>
      <c r="C3" s="129"/>
      <c r="D3" s="129"/>
      <c r="E3" s="128">
        <v>5.3</v>
      </c>
      <c r="F3" s="127"/>
      <c r="G3" s="126"/>
      <c r="H3" s="159"/>
      <c r="I3" s="126">
        <f ca="1">TODAY()</f>
        <v>44627</v>
      </c>
      <c r="O3" s="212" t="s">
        <v>151</v>
      </c>
      <c r="P3" s="213"/>
      <c r="Q3" s="213"/>
      <c r="R3" s="214">
        <v>1.4999999999999999E-2</v>
      </c>
      <c r="S3" s="215"/>
      <c r="U3" s="212" t="s">
        <v>153</v>
      </c>
      <c r="V3" s="213"/>
      <c r="W3" s="213"/>
      <c r="X3" s="214">
        <v>0.1</v>
      </c>
      <c r="Y3" s="215"/>
      <c r="Z3" s="196" t="s">
        <v>157</v>
      </c>
      <c r="AA3" s="197"/>
    </row>
    <row r="4" spans="1:38" ht="12" customHeight="1" thickBot="1" x14ac:dyDescent="0.25">
      <c r="A4" s="123" t="s">
        <v>105</v>
      </c>
      <c r="B4" s="67"/>
      <c r="C4" s="122"/>
      <c r="D4" s="122"/>
      <c r="E4" s="125">
        <v>6.34</v>
      </c>
      <c r="F4" s="120"/>
      <c r="G4" s="124"/>
      <c r="H4" s="160"/>
      <c r="I4" s="124">
        <f ca="1">TODAY()</f>
        <v>44627</v>
      </c>
      <c r="O4" s="204" t="s">
        <v>152</v>
      </c>
      <c r="P4" s="205"/>
      <c r="Q4" s="205"/>
      <c r="R4" s="206">
        <v>0</v>
      </c>
      <c r="S4" s="207"/>
      <c r="U4" s="204" t="s">
        <v>154</v>
      </c>
      <c r="V4" s="205"/>
      <c r="W4" s="205"/>
      <c r="X4" s="206">
        <v>3.6499999999999998E-2</v>
      </c>
      <c r="Y4" s="207"/>
      <c r="Z4" s="198"/>
      <c r="AA4" s="199"/>
    </row>
    <row r="5" spans="1:38" ht="11.25" customHeight="1" x14ac:dyDescent="0.2">
      <c r="A5" s="123" t="s">
        <v>104</v>
      </c>
      <c r="B5" s="67"/>
      <c r="C5" s="122"/>
      <c r="D5" s="122"/>
      <c r="E5" s="121">
        <v>0.19</v>
      </c>
      <c r="F5" s="120"/>
      <c r="G5" s="119"/>
      <c r="H5" s="160"/>
      <c r="I5" s="124">
        <f ca="1">TODAY()</f>
        <v>44627</v>
      </c>
      <c r="O5" s="204" t="s">
        <v>164</v>
      </c>
      <c r="P5" s="205"/>
      <c r="Q5" s="205"/>
      <c r="R5" s="206">
        <v>7.0000000000000001E-3</v>
      </c>
      <c r="S5" s="207"/>
      <c r="U5" s="204" t="s">
        <v>155</v>
      </c>
      <c r="V5" s="205"/>
      <c r="W5" s="205"/>
      <c r="X5" s="206">
        <v>2.2800000000000001E-2</v>
      </c>
      <c r="Y5" s="207"/>
      <c r="Z5" s="200">
        <f>SUM(X3:Y6)</f>
        <v>0.18429999999999999</v>
      </c>
      <c r="AA5" s="201"/>
    </row>
    <row r="6" spans="1:38" ht="12" customHeight="1" thickBot="1" x14ac:dyDescent="0.25">
      <c r="A6" s="118" t="s">
        <v>103</v>
      </c>
      <c r="B6" s="117"/>
      <c r="C6" s="116"/>
      <c r="D6" s="116"/>
      <c r="E6" s="115">
        <v>0.2</v>
      </c>
      <c r="F6" s="114"/>
      <c r="G6" s="113"/>
      <c r="H6" s="161"/>
      <c r="I6" s="162">
        <f ca="1">TODAY()</f>
        <v>44627</v>
      </c>
      <c r="O6" s="208" t="s">
        <v>207</v>
      </c>
      <c r="P6" s="209"/>
      <c r="Q6" s="209"/>
      <c r="R6" s="210">
        <v>0.03</v>
      </c>
      <c r="S6" s="211"/>
      <c r="U6" s="208" t="s">
        <v>156</v>
      </c>
      <c r="V6" s="209"/>
      <c r="W6" s="209"/>
      <c r="X6" s="210">
        <v>2.5000000000000001E-2</v>
      </c>
      <c r="Y6" s="211"/>
      <c r="Z6" s="202"/>
      <c r="AA6" s="203"/>
    </row>
    <row r="7" spans="1:38" ht="10.8" thickBot="1" x14ac:dyDescent="0.25"/>
    <row r="8" spans="1:38" ht="43.5" customHeight="1" thickBot="1" x14ac:dyDescent="0.25">
      <c r="A8" s="111" t="s">
        <v>121</v>
      </c>
      <c r="B8" s="110"/>
      <c r="C8" s="111" t="s">
        <v>102</v>
      </c>
      <c r="D8" s="112"/>
      <c r="E8" s="111" t="s">
        <v>101</v>
      </c>
      <c r="G8" s="111" t="s">
        <v>92</v>
      </c>
      <c r="I8" s="111" t="s">
        <v>100</v>
      </c>
      <c r="J8" s="110"/>
      <c r="K8" s="111" t="s">
        <v>115</v>
      </c>
      <c r="L8" s="110"/>
      <c r="M8" s="111" t="s">
        <v>116</v>
      </c>
      <c r="N8" s="142"/>
      <c r="O8" s="111" t="s">
        <v>117</v>
      </c>
      <c r="P8" s="142"/>
      <c r="Q8" s="111" t="s">
        <v>163</v>
      </c>
      <c r="R8" s="142"/>
      <c r="S8" s="111" t="s">
        <v>127</v>
      </c>
      <c r="T8" s="142"/>
      <c r="U8" s="111" t="s">
        <v>128</v>
      </c>
      <c r="V8" s="142"/>
      <c r="W8" s="111" t="s">
        <v>118</v>
      </c>
      <c r="X8" s="142"/>
      <c r="Y8" s="111" t="s">
        <v>119</v>
      </c>
      <c r="Z8" s="142"/>
      <c r="AA8" s="111" t="s">
        <v>120</v>
      </c>
      <c r="AB8" s="142"/>
      <c r="AC8" s="134" t="s">
        <v>158</v>
      </c>
      <c r="AD8" s="110"/>
      <c r="AE8" s="134" t="s">
        <v>160</v>
      </c>
      <c r="AF8" s="110"/>
      <c r="AG8" s="134" t="s">
        <v>159</v>
      </c>
      <c r="AH8" s="142"/>
      <c r="AI8" s="216" t="s">
        <v>162</v>
      </c>
      <c r="AJ8" s="217"/>
      <c r="AK8" s="181" t="s">
        <v>205</v>
      </c>
      <c r="AL8" s="181" t="s">
        <v>206</v>
      </c>
    </row>
    <row r="9" spans="1:38" s="140" customFormat="1" ht="10.8" thickBot="1" x14ac:dyDescent="0.25">
      <c r="A9" s="167"/>
      <c r="B9" s="108"/>
      <c r="C9" s="109"/>
      <c r="D9" s="108"/>
      <c r="E9" s="171" t="str">
        <f>'75Y60 P37'!C147</f>
        <v>75Y60/P37</v>
      </c>
      <c r="F9" s="108"/>
      <c r="G9" s="153" t="str">
        <f>'75Y60 P37'!D147</f>
        <v>TOMADA DE FORCA - 75Y60/P37  D</v>
      </c>
      <c r="H9" s="108"/>
      <c r="I9" s="152"/>
      <c r="J9" s="108"/>
      <c r="K9" s="163">
        <v>500</v>
      </c>
      <c r="L9" s="108"/>
      <c r="M9" s="163">
        <v>1</v>
      </c>
      <c r="N9" s="108"/>
      <c r="O9" s="168">
        <f>('75Y60 P37'!AD147)</f>
        <v>592.4833122666671</v>
      </c>
      <c r="P9" s="108"/>
      <c r="Q9" s="168">
        <f>('75Y60 P37'!AD147)*(1+$R$3+$R$4+$R$5)</f>
        <v>605.51794513653363</v>
      </c>
      <c r="R9" s="108"/>
      <c r="S9" s="168">
        <f>Q9-'75Y60 P37'!AC147*(1+$R$3+$R$4)</f>
        <v>601.69545513653361</v>
      </c>
      <c r="T9" s="108"/>
      <c r="U9" s="165">
        <f t="shared" ref="U9" si="0">1-(S9/Q9)</f>
        <v>6.3127608862824092E-3</v>
      </c>
      <c r="V9" s="108"/>
      <c r="W9" s="166">
        <f t="shared" ref="W9" si="1">Q9/0.85</f>
        <v>712.37405310180429</v>
      </c>
      <c r="X9" s="108"/>
      <c r="Y9" s="166">
        <f t="shared" ref="Y9" si="2">Q9/0.8</f>
        <v>756.89743142066698</v>
      </c>
      <c r="Z9" s="108"/>
      <c r="AA9" s="166">
        <f>Q9/(1-$AA$11)</f>
        <v>807.3572601820448</v>
      </c>
      <c r="AB9" s="108"/>
      <c r="AC9" s="170">
        <f t="shared" ref="AC9" si="3">W9/(1-SUM($X$3:$Y$6))</f>
        <v>873.32849466936898</v>
      </c>
      <c r="AD9" s="154"/>
      <c r="AE9" s="170">
        <f t="shared" ref="AE9" si="4">Y9/(1-SUM($X$3:$Y$6))</f>
        <v>927.91152558620445</v>
      </c>
      <c r="AF9" s="154"/>
      <c r="AG9" s="170">
        <f t="shared" ref="AG9" si="5">AA9/(1-SUM($X$3:$Y$6))</f>
        <v>989.77229395861809</v>
      </c>
      <c r="AH9" s="154"/>
      <c r="AI9" s="169">
        <v>600</v>
      </c>
      <c r="AJ9" s="178">
        <f t="shared" ref="AJ9" si="6">((AI9*(1-SUM($X$3:$Y$6)))-Q9)/(AI9*(1-SUM($X$3:$Y$6)))</f>
        <v>-0.23721536744827265</v>
      </c>
      <c r="AK9" s="180">
        <f t="shared" ref="AK9" si="7">AI9*(SUM($X$3:$Y$6))</f>
        <v>110.58</v>
      </c>
      <c r="AL9" s="179">
        <f>AI9-AK9-Q9-(AI9*$R$6)</f>
        <v>-134.09794513653361</v>
      </c>
    </row>
    <row r="10" spans="1:38" ht="18" customHeight="1" thickBot="1" x14ac:dyDescent="0.35">
      <c r="J10" s="107" t="s">
        <v>99</v>
      </c>
      <c r="K10" s="151">
        <f>SUM(K9:K9)</f>
        <v>500</v>
      </c>
      <c r="L10" s="107"/>
      <c r="M10" s="105"/>
      <c r="N10" s="141"/>
      <c r="O10" s="105"/>
      <c r="P10" s="141"/>
      <c r="R10" s="141"/>
      <c r="T10" s="141"/>
      <c r="V10" s="141"/>
      <c r="X10" s="141"/>
      <c r="Z10" s="141"/>
      <c r="AB10" s="141"/>
      <c r="AH10" s="141"/>
      <c r="AI10" s="141"/>
    </row>
    <row r="11" spans="1:38" ht="14.4" thickBot="1" x14ac:dyDescent="0.35">
      <c r="J11" s="107" t="s">
        <v>98</v>
      </c>
      <c r="K11" s="106">
        <f>K10*12</f>
        <v>6000</v>
      </c>
      <c r="L11" s="107"/>
      <c r="M11" s="105"/>
      <c r="N11" s="107"/>
      <c r="O11" s="105"/>
      <c r="P11" s="107"/>
      <c r="R11" s="107"/>
      <c r="T11" s="107"/>
      <c r="V11" s="107"/>
      <c r="W11" s="193" t="s">
        <v>161</v>
      </c>
      <c r="X11" s="194"/>
      <c r="Y11" s="194"/>
      <c r="Z11" s="195"/>
      <c r="AA11" s="143">
        <v>0.25</v>
      </c>
      <c r="AB11" s="164"/>
      <c r="AC11" s="164"/>
      <c r="AD11" s="164"/>
      <c r="AE11" s="164"/>
      <c r="AF11" s="164"/>
      <c r="AG11" s="164"/>
      <c r="AH11" s="164"/>
      <c r="AI11" s="164"/>
    </row>
    <row r="13" spans="1:38" x14ac:dyDescent="0.2">
      <c r="V13" s="140"/>
      <c r="AB13" s="140"/>
      <c r="AC13" s="140"/>
      <c r="AD13" s="140"/>
    </row>
    <row r="14" spans="1:38" x14ac:dyDescent="0.2">
      <c r="U14" s="135"/>
      <c r="W14" s="135"/>
      <c r="AC14" s="135"/>
    </row>
    <row r="15" spans="1:38" ht="13.8" x14ac:dyDescent="0.3">
      <c r="AI15" s="141"/>
    </row>
    <row r="18" spans="33:33" x14ac:dyDescent="0.2">
      <c r="AG18" s="140"/>
    </row>
    <row r="19" spans="33:33" x14ac:dyDescent="0.2">
      <c r="AG19" s="140"/>
    </row>
    <row r="20" spans="33:33" x14ac:dyDescent="0.2">
      <c r="AG20" s="140"/>
    </row>
    <row r="21" spans="33:33" x14ac:dyDescent="0.2">
      <c r="AG21" s="140"/>
    </row>
    <row r="22" spans="33:33" x14ac:dyDescent="0.2">
      <c r="AG22" s="140"/>
    </row>
    <row r="23" spans="33:33" x14ac:dyDescent="0.2">
      <c r="AG23" s="140"/>
    </row>
  </sheetData>
  <mergeCells count="20">
    <mergeCell ref="AI8:AJ8"/>
    <mergeCell ref="R3:S3"/>
    <mergeCell ref="R4:S4"/>
    <mergeCell ref="O3:Q3"/>
    <mergeCell ref="O4:Q4"/>
    <mergeCell ref="O5:Q5"/>
    <mergeCell ref="R5:S5"/>
    <mergeCell ref="O6:Q6"/>
    <mergeCell ref="R6:S6"/>
    <mergeCell ref="W11:Z11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</mergeCells>
  <pageMargins left="0.70866141732283472" right="0.70866141732283472" top="0.74803149606299213" bottom="0.74803149606299213" header="0.31496062992125984" footer="0.31496062992125984"/>
  <pageSetup paperSize="160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148"/>
  <sheetViews>
    <sheetView showGridLines="0" tabSelected="1" zoomScale="90" zoomScaleNormal="90" workbookViewId="0">
      <pane xSplit="7" ySplit="9" topLeftCell="H28" activePane="bottomRight" state="frozen"/>
      <selection activeCell="F22" sqref="F22"/>
      <selection pane="topRight" activeCell="F22" sqref="F22"/>
      <selection pane="bottomLeft" activeCell="F22" sqref="F22"/>
      <selection pane="bottomRight" activeCell="C75" sqref="C75"/>
    </sheetView>
  </sheetViews>
  <sheetFormatPr defaultColWidth="9.109375" defaultRowHeight="10.199999999999999" outlineLevelRow="1" x14ac:dyDescent="0.2"/>
  <cols>
    <col min="1" max="1" width="12.88671875" style="16" customWidth="1"/>
    <col min="2" max="2" width="7.5546875" style="16" customWidth="1"/>
    <col min="3" max="3" width="21.88671875" style="22" customWidth="1"/>
    <col min="4" max="4" width="42.77734375" style="16" customWidth="1"/>
    <col min="5" max="5" width="4.109375" style="22" customWidth="1"/>
    <col min="6" max="6" width="6.6640625" style="21" customWidth="1"/>
    <col min="7" max="7" width="5.44140625" style="18" customWidth="1"/>
    <col min="8" max="8" width="7.44140625" style="20" customWidth="1"/>
    <col min="9" max="9" width="8.109375" style="16" customWidth="1"/>
    <col min="10" max="10" width="5.88671875" style="18" customWidth="1"/>
    <col min="11" max="11" width="3" style="18" hidden="1" customWidth="1"/>
    <col min="12" max="12" width="8.6640625" style="16" hidden="1" customWidth="1"/>
    <col min="13" max="13" width="10.6640625" style="16" hidden="1" customWidth="1"/>
    <col min="14" max="14" width="42.5546875" style="19" customWidth="1"/>
    <col min="15" max="15" width="9.109375" style="16" customWidth="1"/>
    <col min="16" max="16" width="13.88671875" style="16" bestFit="1" customWidth="1"/>
    <col min="17" max="17" width="8.109375" style="16" bestFit="1" customWidth="1"/>
    <col min="18" max="18" width="7.6640625" style="16" hidden="1" customWidth="1"/>
    <col min="19" max="19" width="5.5546875" style="16" hidden="1" customWidth="1"/>
    <col min="20" max="20" width="7.88671875" style="18" hidden="1" customWidth="1"/>
    <col min="21" max="21" width="9" style="18" hidden="1" customWidth="1"/>
    <col min="22" max="23" width="11.6640625" style="16" customWidth="1"/>
    <col min="24" max="24" width="11.6640625" style="16" hidden="1" customWidth="1"/>
    <col min="25" max="25" width="7.6640625" style="16" hidden="1" customWidth="1"/>
    <col min="26" max="26" width="7.33203125" style="16" hidden="1" customWidth="1"/>
    <col min="27" max="27" width="11.44140625" style="16" hidden="1" customWidth="1"/>
    <col min="28" max="28" width="12.5546875" style="16" customWidth="1"/>
    <col min="29" max="29" width="9.5546875" style="16" customWidth="1"/>
    <col min="30" max="30" width="11.6640625" style="16" customWidth="1"/>
    <col min="31" max="31" width="5.6640625" style="16" hidden="1" customWidth="1"/>
    <col min="32" max="32" width="6.109375" style="16" hidden="1" customWidth="1"/>
    <col min="33" max="33" width="4.33203125" style="16" hidden="1" customWidth="1"/>
    <col min="34" max="35" width="4.44140625" style="16" hidden="1" customWidth="1"/>
    <col min="36" max="36" width="6.44140625" style="16" hidden="1" customWidth="1"/>
    <col min="37" max="37" width="9.109375" style="17" customWidth="1"/>
    <col min="38" max="16384" width="9.109375" style="16"/>
  </cols>
  <sheetData>
    <row r="1" spans="1:38" ht="15.6" x14ac:dyDescent="0.3">
      <c r="A1" s="103">
        <f>'Dados de Entrada'!$A$1</f>
        <v>0</v>
      </c>
      <c r="C1" s="100"/>
      <c r="D1" s="102"/>
      <c r="E1" s="102"/>
      <c r="F1" s="79"/>
      <c r="G1" s="77"/>
      <c r="H1" s="67"/>
      <c r="I1" s="78"/>
      <c r="J1" s="67"/>
      <c r="K1" s="67"/>
      <c r="L1" s="67"/>
      <c r="M1" s="77"/>
      <c r="N1" s="76"/>
      <c r="O1" s="67"/>
      <c r="P1" s="67"/>
      <c r="Q1" s="67"/>
      <c r="R1" s="67"/>
      <c r="S1" s="67"/>
      <c r="T1" s="67"/>
      <c r="U1" s="67"/>
      <c r="V1" s="67"/>
      <c r="W1" s="67"/>
      <c r="Y1" s="84"/>
      <c r="Z1" s="67"/>
      <c r="AB1" s="67"/>
      <c r="AC1" s="84"/>
    </row>
    <row r="2" spans="1:38" ht="11.25" customHeight="1" thickBot="1" x14ac:dyDescent="0.3">
      <c r="A2" s="101"/>
      <c r="C2" s="100"/>
      <c r="D2" s="99"/>
      <c r="E2" s="99"/>
      <c r="F2" s="79"/>
      <c r="G2" s="77"/>
      <c r="H2" s="67"/>
      <c r="I2" s="78"/>
      <c r="J2" s="67"/>
      <c r="K2" s="67"/>
      <c r="L2" s="67"/>
      <c r="M2" s="77"/>
      <c r="N2" s="77"/>
      <c r="O2" s="77"/>
      <c r="P2" s="77"/>
      <c r="Q2" s="67"/>
      <c r="R2" s="67"/>
      <c r="S2" s="67"/>
      <c r="T2" s="67"/>
      <c r="U2" s="67"/>
      <c r="V2" s="67"/>
      <c r="W2" s="67"/>
      <c r="Y2" s="84"/>
      <c r="Z2" s="67"/>
      <c r="AB2" s="67"/>
      <c r="AC2" s="84"/>
    </row>
    <row r="3" spans="1:38" ht="11.25" customHeight="1" x14ac:dyDescent="0.2">
      <c r="A3" s="98" t="str">
        <f>'Dados de Entrada'!$A$3</f>
        <v>Exchange Rate =&gt; USD</v>
      </c>
      <c r="B3" s="97"/>
      <c r="C3" s="96">
        <f>'Dados de Entrada'!$E$3</f>
        <v>5.3</v>
      </c>
      <c r="D3" s="95">
        <f ca="1">'Dados de Entrada'!$I$3</f>
        <v>44627</v>
      </c>
      <c r="E3" s="92"/>
      <c r="F3" s="78"/>
      <c r="G3" s="77"/>
      <c r="H3" s="67"/>
      <c r="I3" s="78"/>
      <c r="J3" s="67"/>
      <c r="K3" s="67"/>
      <c r="L3" s="67"/>
      <c r="M3" s="77"/>
      <c r="N3" s="77"/>
      <c r="O3" s="77"/>
      <c r="P3" s="67"/>
      <c r="Q3" s="67"/>
      <c r="R3" s="67"/>
      <c r="S3" s="67"/>
      <c r="T3" s="67"/>
      <c r="U3" s="67"/>
      <c r="V3" s="67"/>
      <c r="W3" s="67"/>
      <c r="Y3" s="84"/>
      <c r="Z3" s="67"/>
      <c r="AB3" s="67"/>
      <c r="AC3" s="84"/>
    </row>
    <row r="4" spans="1:38" ht="11.25" customHeight="1" x14ac:dyDescent="0.2">
      <c r="A4" s="91" t="str">
        <f>'Dados de Entrada'!$A$4</f>
        <v>Exchange Rate =&gt; EUR</v>
      </c>
      <c r="B4" s="67"/>
      <c r="C4" s="94">
        <f>'Dados de Entrada'!$E$4</f>
        <v>6.34</v>
      </c>
      <c r="D4" s="93">
        <f ca="1">'Dados de Entrada'!$I$4</f>
        <v>44627</v>
      </c>
      <c r="E4" s="92"/>
      <c r="F4" s="78"/>
      <c r="G4" s="77"/>
      <c r="H4" s="67"/>
      <c r="I4" s="78"/>
      <c r="J4" s="67"/>
      <c r="K4" s="67"/>
      <c r="L4" s="67"/>
      <c r="M4" s="77"/>
      <c r="N4" s="77"/>
      <c r="O4" s="77"/>
      <c r="P4" s="67"/>
      <c r="Q4" s="67"/>
      <c r="R4" s="67"/>
      <c r="S4" s="67"/>
      <c r="T4" s="67"/>
      <c r="U4" s="67"/>
      <c r="V4" s="67"/>
      <c r="W4" s="67"/>
      <c r="Y4" s="84"/>
      <c r="Z4" s="67"/>
      <c r="AB4" s="67"/>
      <c r="AC4" s="84"/>
    </row>
    <row r="5" spans="1:38" ht="11.25" customHeight="1" x14ac:dyDescent="0.2">
      <c r="A5" s="91" t="str">
        <f>'Dados de Entrada'!$A$5</f>
        <v>Import Tax EUA</v>
      </c>
      <c r="B5" s="67"/>
      <c r="C5" s="90">
        <f>'Dados de Entrada'!$E$5</f>
        <v>0.19</v>
      </c>
      <c r="D5" s="89"/>
      <c r="E5" s="67"/>
      <c r="F5" s="78"/>
      <c r="G5" s="77"/>
      <c r="H5" s="67"/>
      <c r="I5" s="78"/>
      <c r="J5" s="67"/>
      <c r="K5" s="67"/>
      <c r="L5" s="67"/>
      <c r="M5" s="77"/>
      <c r="N5" s="77"/>
      <c r="O5" s="77"/>
      <c r="P5" s="67"/>
      <c r="Q5" s="67"/>
      <c r="R5" s="67"/>
      <c r="S5" s="67"/>
      <c r="T5" s="67"/>
      <c r="U5" s="67"/>
      <c r="V5" s="67"/>
      <c r="W5" s="67"/>
      <c r="Y5" s="84"/>
      <c r="Z5" s="67"/>
      <c r="AB5" s="67"/>
      <c r="AC5" s="84"/>
    </row>
    <row r="6" spans="1:38" ht="11.25" customHeight="1" thickBot="1" x14ac:dyDescent="0.25">
      <c r="A6" s="88" t="str">
        <f>'Dados de Entrada'!$A$6</f>
        <v>Import Tax Europe</v>
      </c>
      <c r="B6" s="74"/>
      <c r="C6" s="87">
        <f>'Dados de Entrada'!$E$6</f>
        <v>0.2</v>
      </c>
      <c r="D6" s="86"/>
      <c r="E6" s="67"/>
      <c r="F6" s="78"/>
      <c r="G6" s="77"/>
      <c r="H6" s="67"/>
      <c r="I6" s="78"/>
      <c r="J6" s="67"/>
      <c r="K6" s="67"/>
      <c r="L6" s="67"/>
      <c r="M6" s="77"/>
      <c r="N6" s="77"/>
      <c r="O6" s="77"/>
      <c r="P6" s="67"/>
      <c r="Q6" s="67"/>
      <c r="R6" s="67"/>
      <c r="S6" s="67"/>
      <c r="T6" s="67"/>
      <c r="U6" s="67"/>
      <c r="V6" s="67"/>
      <c r="W6" s="67"/>
      <c r="Y6" s="84"/>
      <c r="Z6" s="67"/>
      <c r="AB6" s="67"/>
      <c r="AC6" s="84"/>
    </row>
    <row r="7" spans="1:38" ht="11.25" hidden="1" customHeight="1" thickBot="1" x14ac:dyDescent="0.25">
      <c r="A7" s="88" t="e">
        <f>'Dados de Entrada'!#REF!</f>
        <v>#REF!</v>
      </c>
      <c r="B7" s="74"/>
      <c r="C7" s="87" t="e">
        <f>'Dados de Entrada'!#REF!</f>
        <v>#REF!</v>
      </c>
      <c r="D7" s="86"/>
      <c r="E7" s="67"/>
      <c r="F7" s="85"/>
      <c r="G7" s="77"/>
      <c r="H7" s="67"/>
      <c r="I7" s="78"/>
      <c r="J7" s="67"/>
      <c r="K7" s="67"/>
      <c r="L7" s="67"/>
      <c r="M7" s="77"/>
      <c r="N7" s="76"/>
      <c r="O7" s="67"/>
      <c r="P7" s="67"/>
      <c r="Q7" s="67"/>
      <c r="R7" s="67"/>
      <c r="S7" s="67"/>
      <c r="T7" s="67"/>
      <c r="U7" s="67"/>
      <c r="V7" s="67"/>
      <c r="W7" s="67"/>
      <c r="Y7" s="84"/>
      <c r="Z7" s="67"/>
      <c r="AB7" s="67"/>
      <c r="AC7" s="84"/>
    </row>
    <row r="8" spans="1:38" ht="12" customHeight="1" thickBot="1" x14ac:dyDescent="0.25">
      <c r="B8" s="83"/>
      <c r="C8" s="82"/>
      <c r="D8" s="81"/>
      <c r="E8" s="80"/>
      <c r="F8" s="79"/>
      <c r="G8" s="77"/>
      <c r="H8" s="67"/>
      <c r="I8" s="78"/>
      <c r="J8" s="67"/>
      <c r="K8" s="67"/>
      <c r="L8" s="67"/>
      <c r="M8" s="77"/>
      <c r="N8" s="76"/>
      <c r="O8" s="67"/>
      <c r="P8" s="67"/>
      <c r="Q8" s="67"/>
      <c r="R8" s="67"/>
      <c r="S8" s="67"/>
      <c r="T8" s="67"/>
      <c r="U8" s="67"/>
      <c r="V8" s="67"/>
      <c r="W8" s="75"/>
      <c r="X8" s="74"/>
      <c r="Y8" s="73" t="s">
        <v>97</v>
      </c>
      <c r="Z8" s="72"/>
      <c r="AA8" s="71"/>
      <c r="AB8" s="70" t="s">
        <v>96</v>
      </c>
      <c r="AC8" s="69"/>
      <c r="AD8" s="68"/>
      <c r="AE8" s="67"/>
    </row>
    <row r="9" spans="1:38" s="56" customFormat="1" ht="55.5" customHeight="1" thickBot="1" x14ac:dyDescent="0.25">
      <c r="A9" s="62" t="s">
        <v>95</v>
      </c>
      <c r="B9" s="65" t="s">
        <v>94</v>
      </c>
      <c r="C9" s="65" t="s">
        <v>93</v>
      </c>
      <c r="D9" s="66" t="s">
        <v>92</v>
      </c>
      <c r="E9" s="65" t="s">
        <v>91</v>
      </c>
      <c r="F9" s="64" t="s">
        <v>90</v>
      </c>
      <c r="G9" s="63" t="s">
        <v>89</v>
      </c>
      <c r="H9" s="62" t="s">
        <v>88</v>
      </c>
      <c r="I9" s="57" t="s">
        <v>87</v>
      </c>
      <c r="J9" s="61" t="s">
        <v>86</v>
      </c>
      <c r="K9" s="61" t="s">
        <v>85</v>
      </c>
      <c r="L9" s="58" t="s">
        <v>84</v>
      </c>
      <c r="M9" s="58" t="s">
        <v>83</v>
      </c>
      <c r="N9" s="58" t="s">
        <v>82</v>
      </c>
      <c r="O9" s="58" t="s">
        <v>81</v>
      </c>
      <c r="P9" s="58" t="s">
        <v>80</v>
      </c>
      <c r="Q9" s="58" t="s">
        <v>79</v>
      </c>
      <c r="R9" s="58" t="s">
        <v>78</v>
      </c>
      <c r="S9" s="58" t="s">
        <v>77</v>
      </c>
      <c r="T9" s="58" t="s">
        <v>76</v>
      </c>
      <c r="U9" s="58" t="s">
        <v>75</v>
      </c>
      <c r="V9" s="58" t="s">
        <v>74</v>
      </c>
      <c r="W9" s="58" t="s">
        <v>73</v>
      </c>
      <c r="X9" s="58" t="s">
        <v>72</v>
      </c>
      <c r="Y9" s="60" t="s">
        <v>71</v>
      </c>
      <c r="Z9" s="60" t="s">
        <v>70</v>
      </c>
      <c r="AA9" s="60" t="s">
        <v>69</v>
      </c>
      <c r="AB9" s="59" t="s">
        <v>68</v>
      </c>
      <c r="AC9" s="59" t="s">
        <v>67</v>
      </c>
      <c r="AD9" s="59" t="s">
        <v>66</v>
      </c>
      <c r="AE9" s="57" t="s">
        <v>65</v>
      </c>
      <c r="AF9" s="57" t="s">
        <v>64</v>
      </c>
      <c r="AG9" s="58" t="s">
        <v>63</v>
      </c>
      <c r="AH9" s="58" t="s">
        <v>62</v>
      </c>
      <c r="AI9" s="58" t="s">
        <v>61</v>
      </c>
      <c r="AJ9" s="57" t="s">
        <v>60</v>
      </c>
      <c r="AK9" s="17" t="s">
        <v>298</v>
      </c>
    </row>
    <row r="10" spans="1:38" s="23" customFormat="1" ht="11.25" customHeight="1" outlineLevel="1" x14ac:dyDescent="0.2">
      <c r="A10" s="53"/>
      <c r="B10" s="146" t="s">
        <v>183</v>
      </c>
      <c r="C10" s="176" t="s">
        <v>208</v>
      </c>
      <c r="D10" s="147" t="str">
        <f>IFERROR(VLOOKUP(C10,'Material Comprado'!$B$3:$E$419,2,),"")</f>
        <v>TOMADA DE FORCA - 75Y60/P37  D</v>
      </c>
      <c r="E10" s="52" t="s">
        <v>179</v>
      </c>
      <c r="F10" s="156">
        <v>1</v>
      </c>
      <c r="G10" s="51"/>
      <c r="H10" s="144">
        <f t="shared" ref="H10:H42" si="0">I10*12*2</f>
        <v>12000</v>
      </c>
      <c r="I10" s="144">
        <f>'Dados de Entrada'!$K$9</f>
        <v>500</v>
      </c>
      <c r="J10" s="50">
        <f>'Dados de Entrada'!$M$9</f>
        <v>1</v>
      </c>
      <c r="K10" s="49"/>
      <c r="L10" s="37"/>
      <c r="M10" s="47"/>
      <c r="N10" s="150" t="str">
        <f>IFERROR(VLOOKUP(C10,'Custo Hora'!$B$3:$D$75,2,),"")</f>
        <v/>
      </c>
      <c r="O10" s="47"/>
      <c r="P10" s="145"/>
      <c r="Q10" s="145"/>
      <c r="R10" s="48"/>
      <c r="S10" s="47"/>
      <c r="T10" s="37"/>
      <c r="U10" s="37"/>
      <c r="V10" s="46">
        <f>IFERROR((VLOOKUP(C10,'Material Comprado'!$B$2:$E$439,4,FALSE)),"0")</f>
        <v>0</v>
      </c>
      <c r="W10" s="37">
        <f t="shared" ref="W10:W42" si="1">((((T10*$C$3)*(1+$C$5))+((U10*$C$4)*(1+$C$6))+V10)*F10)</f>
        <v>0</v>
      </c>
      <c r="X10" s="45"/>
      <c r="Y10" s="44"/>
      <c r="Z10" s="44"/>
      <c r="AA10" s="43"/>
      <c r="AB10" s="42" t="str">
        <f>IFERROR(((P10*VLOOKUP(C10,'Custo Hora'!$B$3:$D$75,3,)/60)*F10),"0")</f>
        <v>0</v>
      </c>
      <c r="AC10" s="42" t="str">
        <f>IFERROR(((Q10*VLOOKUP(C10,'Custo Hora'!$B$3:$D$75,3,))/(I10/J10)),"0")</f>
        <v>0</v>
      </c>
      <c r="AD10" s="41">
        <f t="shared" ref="AD10:AD42" si="2">W10+AB10+AC10+X10</f>
        <v>0</v>
      </c>
      <c r="AE10" s="40"/>
      <c r="AF10" s="39"/>
      <c r="AG10" s="38"/>
      <c r="AH10" s="37"/>
      <c r="AI10" s="36"/>
      <c r="AJ10" s="36"/>
      <c r="AK10" s="17">
        <f t="shared" ref="AK10:AK42" si="3">AD10/$AD$147</f>
        <v>0</v>
      </c>
      <c r="AL10" s="188">
        <v>1</v>
      </c>
    </row>
    <row r="11" spans="1:38" s="23" customFormat="1" ht="11.25" customHeight="1" outlineLevel="1" x14ac:dyDescent="0.2">
      <c r="A11" s="53"/>
      <c r="B11" s="146" t="s">
        <v>184</v>
      </c>
      <c r="C11" s="175" t="s">
        <v>58</v>
      </c>
      <c r="D11" s="147" t="str">
        <f>IFERROR(VLOOKUP(C11,'Material Comprado'!$B$3:$E$419,2,),"")</f>
        <v/>
      </c>
      <c r="E11" s="52" t="s">
        <v>187</v>
      </c>
      <c r="F11" s="157">
        <v>1</v>
      </c>
      <c r="G11" s="51"/>
      <c r="H11" s="148">
        <f t="shared" si="0"/>
        <v>12000</v>
      </c>
      <c r="I11" s="148">
        <f>'Dados de Entrada'!$K$9</f>
        <v>500</v>
      </c>
      <c r="J11" s="50">
        <f>'Dados de Entrada'!$M$9</f>
        <v>1</v>
      </c>
      <c r="K11" s="49"/>
      <c r="L11" s="37"/>
      <c r="M11" s="47"/>
      <c r="N11" s="55" t="str">
        <f>IFERROR(VLOOKUP(C11,'Custo Hora'!$B$3:$D$75,2,),"")</f>
        <v>APC001 - ARMAZENAMENTO PRODUTO</v>
      </c>
      <c r="O11" s="192"/>
      <c r="P11" s="149"/>
      <c r="Q11" s="149"/>
      <c r="R11" s="173"/>
      <c r="S11" s="54"/>
      <c r="T11" s="174"/>
      <c r="U11" s="174"/>
      <c r="V11" s="149" t="str">
        <f>IFERROR((VLOOKUP(C11,'Material Comprado'!$B$2:$E$439,4,FALSE)),"0")</f>
        <v>0</v>
      </c>
      <c r="W11" s="174">
        <f t="shared" si="1"/>
        <v>0</v>
      </c>
      <c r="X11" s="45"/>
      <c r="Y11" s="44"/>
      <c r="Z11" s="44"/>
      <c r="AA11" s="43"/>
      <c r="AB11" s="42">
        <f>IFERROR(((P11*VLOOKUP(C11,'Custo Hora'!$B$3:$D$75,3,)/60)*F11),"0")</f>
        <v>0</v>
      </c>
      <c r="AC11" s="42">
        <f>IFERROR(((Q11*VLOOKUP(C11,'Custo Hora'!$B$3:$D$75,3,))/(I11/J11)),"0")</f>
        <v>0</v>
      </c>
      <c r="AD11" s="41">
        <f t="shared" si="2"/>
        <v>0</v>
      </c>
      <c r="AE11" s="40"/>
      <c r="AF11" s="39"/>
      <c r="AG11" s="38"/>
      <c r="AH11" s="37"/>
      <c r="AI11" s="36"/>
      <c r="AJ11" s="36"/>
      <c r="AK11" s="17">
        <f t="shared" si="3"/>
        <v>0</v>
      </c>
      <c r="AL11" s="188">
        <v>2</v>
      </c>
    </row>
    <row r="12" spans="1:38" s="23" customFormat="1" ht="11.25" customHeight="1" outlineLevel="1" x14ac:dyDescent="0.2">
      <c r="A12" s="53"/>
      <c r="B12" s="146" t="s">
        <v>184</v>
      </c>
      <c r="C12" s="175" t="s">
        <v>56</v>
      </c>
      <c r="D12" s="147" t="str">
        <f>IFERROR(VLOOKUP(C12,'Material Comprado'!$B$3:$E$419,2,),"")</f>
        <v/>
      </c>
      <c r="E12" s="52" t="s">
        <v>187</v>
      </c>
      <c r="F12" s="157">
        <v>1</v>
      </c>
      <c r="G12" s="51"/>
      <c r="H12" s="148">
        <f t="shared" si="0"/>
        <v>12000</v>
      </c>
      <c r="I12" s="148">
        <f>'Dados de Entrada'!$K$9</f>
        <v>500</v>
      </c>
      <c r="J12" s="50">
        <f>'Dados de Entrada'!$M$9</f>
        <v>1</v>
      </c>
      <c r="K12" s="49"/>
      <c r="L12" s="37"/>
      <c r="M12" s="47"/>
      <c r="N12" s="55" t="str">
        <f>IFERROR(VLOOKUP(C12,'Custo Hora'!$B$3:$D$75,2,),"")</f>
        <v>MON002 - MONTAGEM TOMADA</v>
      </c>
      <c r="O12" s="192"/>
      <c r="P12" s="149">
        <v>8</v>
      </c>
      <c r="Q12" s="149"/>
      <c r="R12" s="173"/>
      <c r="S12" s="54"/>
      <c r="T12" s="174"/>
      <c r="U12" s="174"/>
      <c r="V12" s="149" t="str">
        <f>IFERROR((VLOOKUP(C12,'Material Comprado'!$B$2:$E$439,4,FALSE)),"0")</f>
        <v>0</v>
      </c>
      <c r="W12" s="174">
        <f t="shared" si="1"/>
        <v>0</v>
      </c>
      <c r="X12" s="45"/>
      <c r="Y12" s="44"/>
      <c r="Z12" s="44"/>
      <c r="AA12" s="43"/>
      <c r="AB12" s="42">
        <f>IFERROR(((P12*VLOOKUP(C12,'Custo Hora'!$B$3:$D$75,3,)/60)*F12),"0")</f>
        <v>8</v>
      </c>
      <c r="AC12" s="42">
        <f>IFERROR(((Q12*VLOOKUP(C12,'Custo Hora'!$B$3:$D$75,3,))/(I12/J12)),"0")</f>
        <v>0</v>
      </c>
      <c r="AD12" s="41">
        <f t="shared" si="2"/>
        <v>8</v>
      </c>
      <c r="AE12" s="40"/>
      <c r="AF12" s="39"/>
      <c r="AG12" s="38"/>
      <c r="AH12" s="37"/>
      <c r="AI12" s="36"/>
      <c r="AJ12" s="36"/>
      <c r="AK12" s="17">
        <f t="shared" si="3"/>
        <v>1.3502490001607557E-2</v>
      </c>
      <c r="AL12" s="188">
        <v>3</v>
      </c>
    </row>
    <row r="13" spans="1:38" s="23" customFormat="1" ht="11.4" customHeight="1" outlineLevel="1" x14ac:dyDescent="0.2">
      <c r="A13" s="53"/>
      <c r="B13" s="146" t="s">
        <v>184</v>
      </c>
      <c r="C13" s="175" t="s">
        <v>58</v>
      </c>
      <c r="D13" s="147" t="str">
        <f>IFERROR(VLOOKUP(C13,'Material Comprado'!$B$3:$E$419,2,),"")</f>
        <v/>
      </c>
      <c r="E13" s="52" t="s">
        <v>187</v>
      </c>
      <c r="F13" s="157">
        <v>1</v>
      </c>
      <c r="G13" s="51"/>
      <c r="H13" s="148">
        <f t="shared" si="0"/>
        <v>12000</v>
      </c>
      <c r="I13" s="148">
        <f>'Dados de Entrada'!$K$9</f>
        <v>500</v>
      </c>
      <c r="J13" s="50">
        <f>'Dados de Entrada'!$M$9</f>
        <v>1</v>
      </c>
      <c r="K13" s="49"/>
      <c r="L13" s="37"/>
      <c r="M13" s="47"/>
      <c r="N13" s="55" t="str">
        <f>IFERROR(VLOOKUP(C13,'Custo Hora'!$B$3:$D$75,2,),"")</f>
        <v>APC001 - ARMAZENAMENTO PRODUTO</v>
      </c>
      <c r="O13" s="192"/>
      <c r="P13" s="149"/>
      <c r="Q13" s="149"/>
      <c r="R13" s="173"/>
      <c r="S13" s="54"/>
      <c r="T13" s="174"/>
      <c r="U13" s="174"/>
      <c r="V13" s="149" t="str">
        <f>IFERROR((VLOOKUP(C13,'Material Comprado'!$B$2:$E$439,4,FALSE)),"0")</f>
        <v>0</v>
      </c>
      <c r="W13" s="174">
        <f t="shared" si="1"/>
        <v>0</v>
      </c>
      <c r="X13" s="45"/>
      <c r="Y13" s="44"/>
      <c r="Z13" s="44"/>
      <c r="AA13" s="43"/>
      <c r="AB13" s="42">
        <f>IFERROR(((P13*VLOOKUP(C13,'Custo Hora'!$B$3:$D$75,3,)/60)*F13),"0")</f>
        <v>0</v>
      </c>
      <c r="AC13" s="42">
        <f>IFERROR(((Q13*VLOOKUP(C13,'Custo Hora'!$B$3:$D$75,3,))/(I13/J13)),"0")</f>
        <v>0</v>
      </c>
      <c r="AD13" s="41">
        <f t="shared" si="2"/>
        <v>0</v>
      </c>
      <c r="AE13" s="40"/>
      <c r="AF13" s="39"/>
      <c r="AG13" s="38"/>
      <c r="AH13" s="37"/>
      <c r="AI13" s="36"/>
      <c r="AJ13" s="36"/>
      <c r="AK13" s="17">
        <f t="shared" si="3"/>
        <v>0</v>
      </c>
      <c r="AL13" s="188">
        <v>4</v>
      </c>
    </row>
    <row r="14" spans="1:38" s="23" customFormat="1" ht="10.8" customHeight="1" outlineLevel="1" x14ac:dyDescent="0.2">
      <c r="A14" s="53"/>
      <c r="B14" s="146" t="s">
        <v>184</v>
      </c>
      <c r="C14" s="175">
        <v>75202199001</v>
      </c>
      <c r="D14" s="147" t="str">
        <f>IFERROR(VLOOKUP(C14,'Material Comprado'!$B$3:$E$419,2,),"")</f>
        <v>EIXO DO CARRETEL TF 75 DELIVER</v>
      </c>
      <c r="E14" s="52" t="s">
        <v>181</v>
      </c>
      <c r="F14" s="157">
        <v>1</v>
      </c>
      <c r="G14" s="51"/>
      <c r="H14" s="148">
        <f t="shared" si="0"/>
        <v>12000</v>
      </c>
      <c r="I14" s="148">
        <f>'Dados de Entrada'!$K$9</f>
        <v>500</v>
      </c>
      <c r="J14" s="50">
        <f>'Dados de Entrada'!$M$9</f>
        <v>1</v>
      </c>
      <c r="K14" s="49"/>
      <c r="L14" s="37"/>
      <c r="M14" s="47"/>
      <c r="N14" s="150" t="str">
        <f>IFERROR(VLOOKUP(C14,'Custo Hora'!$B$3:$D$75,2,),"")</f>
        <v/>
      </c>
      <c r="O14" s="192"/>
      <c r="P14" s="145"/>
      <c r="Q14" s="145"/>
      <c r="R14" s="48"/>
      <c r="S14" s="47"/>
      <c r="T14" s="37"/>
      <c r="U14" s="37"/>
      <c r="V14" s="46">
        <f>IFERROR((VLOOKUP(C14,'Material Comprado'!$B$2:$E$439,4,FALSE)),"0")</f>
        <v>0</v>
      </c>
      <c r="W14" s="37">
        <f t="shared" si="1"/>
        <v>0</v>
      </c>
      <c r="X14" s="45"/>
      <c r="Y14" s="44"/>
      <c r="Z14" s="44"/>
      <c r="AA14" s="43"/>
      <c r="AB14" s="42" t="str">
        <f>IFERROR(((P14*VLOOKUP(C14,'Custo Hora'!$B$3:$D$75,3,)/60)*F14),"0")</f>
        <v>0</v>
      </c>
      <c r="AC14" s="42" t="str">
        <f>IFERROR(((Q14*VLOOKUP(C14,'Custo Hora'!$B$3:$D$75,3,))/(I14/J14)),"0")</f>
        <v>0</v>
      </c>
      <c r="AD14" s="41">
        <f t="shared" si="2"/>
        <v>0</v>
      </c>
      <c r="AE14" s="40"/>
      <c r="AF14" s="39"/>
      <c r="AG14" s="38"/>
      <c r="AH14" s="37"/>
      <c r="AI14" s="36"/>
      <c r="AJ14" s="36"/>
      <c r="AK14" s="17">
        <f t="shared" si="3"/>
        <v>0</v>
      </c>
      <c r="AL14" s="188">
        <v>5</v>
      </c>
    </row>
    <row r="15" spans="1:38" s="23" customFormat="1" ht="11.25" customHeight="1" outlineLevel="1" x14ac:dyDescent="0.2">
      <c r="A15" s="53"/>
      <c r="B15" s="146" t="s">
        <v>185</v>
      </c>
      <c r="C15" s="175" t="s">
        <v>40</v>
      </c>
      <c r="D15" s="147" t="str">
        <f>IFERROR(VLOOKUP(C15,'Material Comprado'!$B$3:$E$419,2,),"")</f>
        <v/>
      </c>
      <c r="E15" s="52" t="s">
        <v>187</v>
      </c>
      <c r="F15" s="157">
        <v>1</v>
      </c>
      <c r="G15" s="51"/>
      <c r="H15" s="148">
        <f t="shared" si="0"/>
        <v>12000</v>
      </c>
      <c r="I15" s="148">
        <f>'Dados de Entrada'!$K$9</f>
        <v>500</v>
      </c>
      <c r="J15" s="50">
        <f>'Dados de Entrada'!$M$9</f>
        <v>1</v>
      </c>
      <c r="K15" s="49"/>
      <c r="L15" s="37"/>
      <c r="M15" s="47"/>
      <c r="N15" s="55" t="str">
        <f>IFERROR(VLOOKUP(C15,'Custo Hora'!$B$3:$D$75,2,),"")</f>
        <v>MET001/MET002 - METROLOGIA 1 E</v>
      </c>
      <c r="O15" s="192"/>
      <c r="P15" s="149"/>
      <c r="Q15" s="149"/>
      <c r="R15" s="48"/>
      <c r="S15" s="47"/>
      <c r="T15" s="37"/>
      <c r="U15" s="37"/>
      <c r="V15" s="172" t="str">
        <f>IFERROR((VLOOKUP(C15,'Material Comprado'!$B$2:$E$439,4,FALSE)),"0")</f>
        <v>0</v>
      </c>
      <c r="W15" s="174">
        <f t="shared" si="1"/>
        <v>0</v>
      </c>
      <c r="X15" s="45"/>
      <c r="Y15" s="44"/>
      <c r="Z15" s="44"/>
      <c r="AA15" s="43"/>
      <c r="AB15" s="42">
        <f>IFERROR(((P15*VLOOKUP(C15,'Custo Hora'!$B$3:$D$75,3,)/60)*F15),"0")</f>
        <v>0</v>
      </c>
      <c r="AC15" s="42">
        <f>IFERROR(((Q15*VLOOKUP(C15,'Custo Hora'!$B$3:$D$75,3,))/(I15/J15)),"0")</f>
        <v>0</v>
      </c>
      <c r="AD15" s="41">
        <f t="shared" si="2"/>
        <v>0</v>
      </c>
      <c r="AE15" s="40"/>
      <c r="AF15" s="39"/>
      <c r="AG15" s="38"/>
      <c r="AH15" s="37"/>
      <c r="AI15" s="36"/>
      <c r="AJ15" s="36"/>
      <c r="AK15" s="17">
        <f t="shared" si="3"/>
        <v>0</v>
      </c>
      <c r="AL15" s="188">
        <v>6</v>
      </c>
    </row>
    <row r="16" spans="1:38" s="23" customFormat="1" ht="11.25" customHeight="1" outlineLevel="1" x14ac:dyDescent="0.2">
      <c r="A16" s="53"/>
      <c r="B16" s="191" t="s">
        <v>185</v>
      </c>
      <c r="C16" s="175" t="s">
        <v>21</v>
      </c>
      <c r="D16" s="147"/>
      <c r="E16" s="52" t="s">
        <v>187</v>
      </c>
      <c r="F16" s="157">
        <v>1</v>
      </c>
      <c r="G16" s="51"/>
      <c r="H16" s="148">
        <v>12000</v>
      </c>
      <c r="I16" s="148">
        <v>500</v>
      </c>
      <c r="J16" s="50">
        <v>1</v>
      </c>
      <c r="K16" s="49"/>
      <c r="L16" s="37"/>
      <c r="M16" s="47"/>
      <c r="N16" s="55" t="str">
        <f>IFERROR(VLOOKUP(C16,'Custo Hora'!$B$3:$D$75,2,),"")</f>
        <v>RET007 - R.CV.C.50.02 RETIFICA</v>
      </c>
      <c r="O16" s="192"/>
      <c r="P16" s="149">
        <v>1.5</v>
      </c>
      <c r="Q16" s="149">
        <v>0.5</v>
      </c>
      <c r="R16" s="48"/>
      <c r="S16" s="47"/>
      <c r="T16" s="37"/>
      <c r="U16" s="37"/>
      <c r="V16" s="172">
        <v>0</v>
      </c>
      <c r="W16" s="174">
        <v>0</v>
      </c>
      <c r="X16" s="45"/>
      <c r="Y16" s="44"/>
      <c r="Z16" s="44"/>
      <c r="AA16" s="43"/>
      <c r="AB16" s="42">
        <f>IFERROR(((P16*VLOOKUP(C16,'Custo Hora'!$B$3:$D$75,3,)/60)*F16),"0")</f>
        <v>2</v>
      </c>
      <c r="AC16" s="42">
        <f>IFERROR(((Q16*VLOOKUP(C16,'Custo Hora'!$B$3:$D$75,3,))/(I16/J16)),"0")</f>
        <v>0.08</v>
      </c>
      <c r="AD16" s="41">
        <f t="shared" si="2"/>
        <v>2.08</v>
      </c>
      <c r="AE16" s="40"/>
      <c r="AF16" s="39"/>
      <c r="AG16" s="38"/>
      <c r="AH16" s="37"/>
      <c r="AI16" s="36"/>
      <c r="AJ16" s="36"/>
      <c r="AK16" s="17">
        <f t="shared" si="3"/>
        <v>3.5106474004179648E-3</v>
      </c>
      <c r="AL16" s="188">
        <v>7</v>
      </c>
    </row>
    <row r="17" spans="1:38" s="23" customFormat="1" ht="11.25" customHeight="1" outlineLevel="1" x14ac:dyDescent="0.2">
      <c r="A17" s="53"/>
      <c r="B17" s="146" t="s">
        <v>185</v>
      </c>
      <c r="C17" s="175" t="s">
        <v>58</v>
      </c>
      <c r="D17" s="147" t="str">
        <f>IFERROR(VLOOKUP(C17,'Material Comprado'!$B$3:$E$419,2,),"")</f>
        <v/>
      </c>
      <c r="E17" s="52" t="s">
        <v>187</v>
      </c>
      <c r="F17" s="157">
        <v>1</v>
      </c>
      <c r="G17" s="51"/>
      <c r="H17" s="148">
        <f t="shared" si="0"/>
        <v>12000</v>
      </c>
      <c r="I17" s="148">
        <f>'Dados de Entrada'!$K$9</f>
        <v>500</v>
      </c>
      <c r="J17" s="50">
        <f>'Dados de Entrada'!$M$9</f>
        <v>1</v>
      </c>
      <c r="K17" s="49"/>
      <c r="L17" s="37"/>
      <c r="M17" s="47"/>
      <c r="N17" s="55" t="str">
        <f>IFERROR(VLOOKUP(C17,'Custo Hora'!$B$3:$D$75,2,),"")</f>
        <v>APC001 - ARMAZENAMENTO PRODUTO</v>
      </c>
      <c r="O17" s="192"/>
      <c r="P17" s="149"/>
      <c r="Q17" s="149"/>
      <c r="R17" s="48"/>
      <c r="S17" s="47"/>
      <c r="T17" s="37"/>
      <c r="U17" s="37"/>
      <c r="V17" s="172" t="str">
        <f>IFERROR((VLOOKUP(C17,'Material Comprado'!$B$2:$E$439,4,FALSE)),"0")</f>
        <v>0</v>
      </c>
      <c r="W17" s="174">
        <f t="shared" si="1"/>
        <v>0</v>
      </c>
      <c r="X17" s="45"/>
      <c r="Y17" s="44"/>
      <c r="Z17" s="44"/>
      <c r="AA17" s="43"/>
      <c r="AB17" s="42">
        <f>IFERROR(((P17*VLOOKUP(C17,'Custo Hora'!$B$3:$D$75,3,)/60)*F17),"0")</f>
        <v>0</v>
      </c>
      <c r="AC17" s="42">
        <f>IFERROR(((Q17*VLOOKUP(C17,'Custo Hora'!$B$3:$D$75,3,))/(I17/J17)),"0")</f>
        <v>0</v>
      </c>
      <c r="AD17" s="41">
        <f t="shared" si="2"/>
        <v>0</v>
      </c>
      <c r="AE17" s="40"/>
      <c r="AF17" s="39"/>
      <c r="AG17" s="38"/>
      <c r="AH17" s="37"/>
      <c r="AI17" s="36"/>
      <c r="AJ17" s="36"/>
      <c r="AK17" s="17">
        <f t="shared" si="3"/>
        <v>0</v>
      </c>
      <c r="AL17" s="188">
        <v>8</v>
      </c>
    </row>
    <row r="18" spans="1:38" s="23" customFormat="1" ht="11.25" customHeight="1" outlineLevel="1" x14ac:dyDescent="0.2">
      <c r="A18" s="53"/>
      <c r="B18" s="146" t="s">
        <v>185</v>
      </c>
      <c r="C18" s="175" t="s">
        <v>209</v>
      </c>
      <c r="D18" s="147" t="str">
        <f>IFERROR(VLOOKUP(C18,'Material Comprado'!$B$3:$E$419,2,),"")</f>
        <v>CEMENTADO - EIXO DO CARRETEL T</v>
      </c>
      <c r="E18" s="52" t="s">
        <v>181</v>
      </c>
      <c r="F18" s="157">
        <v>1</v>
      </c>
      <c r="G18" s="51"/>
      <c r="H18" s="148">
        <f t="shared" si="0"/>
        <v>12000</v>
      </c>
      <c r="I18" s="148">
        <f>'Dados de Entrada'!$K$9</f>
        <v>500</v>
      </c>
      <c r="J18" s="50">
        <f>'Dados de Entrada'!$M$9</f>
        <v>1</v>
      </c>
      <c r="K18" s="49"/>
      <c r="L18" s="37"/>
      <c r="M18" s="47"/>
      <c r="N18" s="150" t="str">
        <f>IFERROR(VLOOKUP(C18,'Custo Hora'!$B$3:$D$75,2,),"")</f>
        <v/>
      </c>
      <c r="O18" s="192"/>
      <c r="P18" s="145"/>
      <c r="Q18" s="145"/>
      <c r="R18" s="48"/>
      <c r="S18" s="47"/>
      <c r="T18" s="37"/>
      <c r="U18" s="37"/>
      <c r="V18" s="46">
        <f>IFERROR((VLOOKUP(C18,'Material Comprado'!$B$2:$E$439,4,FALSE)),"0")</f>
        <v>3.0830000000000002</v>
      </c>
      <c r="W18" s="37">
        <f t="shared" si="1"/>
        <v>3.0830000000000002</v>
      </c>
      <c r="X18" s="45"/>
      <c r="Y18" s="44"/>
      <c r="Z18" s="44"/>
      <c r="AA18" s="43"/>
      <c r="AB18" s="42" t="str">
        <f>IFERROR(((P18*VLOOKUP(C18,'Custo Hora'!$B$3:$D$75,3,)/60)*F18),"0")</f>
        <v>0</v>
      </c>
      <c r="AC18" s="42" t="str">
        <f>IFERROR(((Q18*VLOOKUP(C18,'Custo Hora'!$B$3:$D$75,3,))/(I18/J18)),"0")</f>
        <v>0</v>
      </c>
      <c r="AD18" s="41">
        <f t="shared" si="2"/>
        <v>3.0830000000000002</v>
      </c>
      <c r="AE18" s="40"/>
      <c r="AF18" s="39"/>
      <c r="AG18" s="38"/>
      <c r="AH18" s="37"/>
      <c r="AI18" s="36"/>
      <c r="AJ18" s="36"/>
      <c r="AK18" s="17">
        <f t="shared" si="3"/>
        <v>5.2035220843695126E-3</v>
      </c>
      <c r="AL18" s="188">
        <v>9</v>
      </c>
    </row>
    <row r="19" spans="1:38" s="23" customFormat="1" ht="11.25" customHeight="1" outlineLevel="1" x14ac:dyDescent="0.2">
      <c r="A19" s="53"/>
      <c r="B19" s="146" t="s">
        <v>185</v>
      </c>
      <c r="C19" s="175" t="s">
        <v>210</v>
      </c>
      <c r="D19" s="147" t="str">
        <f>IFERROR(VLOOKUP(C19,'Material Comprado'!$B$3:$E$419,2,),"")</f>
        <v>USINADO - EIXO DO CARRETEL TF</v>
      </c>
      <c r="E19" s="52" t="s">
        <v>179</v>
      </c>
      <c r="F19" s="157">
        <v>1</v>
      </c>
      <c r="G19" s="51"/>
      <c r="H19" s="148">
        <f t="shared" si="0"/>
        <v>12000</v>
      </c>
      <c r="I19" s="148">
        <f>'Dados de Entrada'!$K$9</f>
        <v>500</v>
      </c>
      <c r="J19" s="50">
        <f>'Dados de Entrada'!$M$9</f>
        <v>1</v>
      </c>
      <c r="K19" s="49"/>
      <c r="L19" s="37"/>
      <c r="M19" s="47"/>
      <c r="N19" s="150" t="str">
        <f>IFERROR(VLOOKUP(C19,'Custo Hora'!$B$3:$D$75,2,),"")</f>
        <v/>
      </c>
      <c r="O19" s="192"/>
      <c r="P19" s="145"/>
      <c r="Q19" s="145"/>
      <c r="R19" s="48"/>
      <c r="S19" s="47"/>
      <c r="T19" s="37"/>
      <c r="U19" s="37"/>
      <c r="V19" s="46">
        <f>IFERROR((VLOOKUP(C19,'Material Comprado'!$B$2:$E$439,4,FALSE)),"0")</f>
        <v>0</v>
      </c>
      <c r="W19" s="37">
        <f t="shared" si="1"/>
        <v>0</v>
      </c>
      <c r="X19" s="45"/>
      <c r="Y19" s="44"/>
      <c r="Z19" s="44"/>
      <c r="AA19" s="43"/>
      <c r="AB19" s="42" t="str">
        <f>IFERROR(((P19*VLOOKUP(C19,'Custo Hora'!$B$3:$D$75,3,)/60)*F19),"0")</f>
        <v>0</v>
      </c>
      <c r="AC19" s="42" t="str">
        <f>IFERROR(((Q19*VLOOKUP(C19,'Custo Hora'!$B$3:$D$75,3,))/(I19/J19)),"0")</f>
        <v>0</v>
      </c>
      <c r="AD19" s="41">
        <f t="shared" si="2"/>
        <v>0</v>
      </c>
      <c r="AE19" s="40"/>
      <c r="AF19" s="39"/>
      <c r="AG19" s="38"/>
      <c r="AH19" s="37"/>
      <c r="AI19" s="36"/>
      <c r="AJ19" s="36"/>
      <c r="AK19" s="17">
        <f t="shared" si="3"/>
        <v>0</v>
      </c>
      <c r="AL19" s="188">
        <v>10</v>
      </c>
    </row>
    <row r="20" spans="1:38" s="23" customFormat="1" ht="11.25" customHeight="1" outlineLevel="1" x14ac:dyDescent="0.2">
      <c r="A20" s="53"/>
      <c r="B20" s="146" t="s">
        <v>186</v>
      </c>
      <c r="C20" s="175" t="s">
        <v>58</v>
      </c>
      <c r="D20" s="147" t="str">
        <f>IFERROR(VLOOKUP(C20,'Material Comprado'!$B$3:$E$419,2,),"")</f>
        <v/>
      </c>
      <c r="E20" s="52" t="s">
        <v>187</v>
      </c>
      <c r="F20" s="157">
        <v>1</v>
      </c>
      <c r="G20" s="51"/>
      <c r="H20" s="148">
        <f t="shared" si="0"/>
        <v>12000</v>
      </c>
      <c r="I20" s="148">
        <f>'Dados de Entrada'!$K$9</f>
        <v>500</v>
      </c>
      <c r="J20" s="50">
        <f>'Dados de Entrada'!$M$9</f>
        <v>1</v>
      </c>
      <c r="K20" s="49"/>
      <c r="L20" s="37"/>
      <c r="M20" s="47"/>
      <c r="N20" s="55" t="str">
        <f>IFERROR(VLOOKUP(C20,'Custo Hora'!$B$3:$D$75,2,),"")</f>
        <v>APC001 - ARMAZENAMENTO PRODUTO</v>
      </c>
      <c r="O20" s="192"/>
      <c r="P20" s="149"/>
      <c r="Q20" s="149"/>
      <c r="R20" s="48"/>
      <c r="S20" s="47"/>
      <c r="T20" s="37"/>
      <c r="U20" s="37"/>
      <c r="V20" s="172" t="str">
        <f>IFERROR((VLOOKUP(C20,'Material Comprado'!$B$2:$E$439,4,FALSE)),"0")</f>
        <v>0</v>
      </c>
      <c r="W20" s="174">
        <f t="shared" si="1"/>
        <v>0</v>
      </c>
      <c r="X20" s="45"/>
      <c r="Y20" s="44"/>
      <c r="Z20" s="44"/>
      <c r="AA20" s="43"/>
      <c r="AB20" s="42">
        <f>IFERROR(((P20*VLOOKUP(C20,'Custo Hora'!$B$3:$D$75,3,)/60)*F20),"0")</f>
        <v>0</v>
      </c>
      <c r="AC20" s="42">
        <f>IFERROR(((Q20*VLOOKUP(C20,'Custo Hora'!$B$3:$D$75,3,))/(I20/J20)),"0")</f>
        <v>0</v>
      </c>
      <c r="AD20" s="41">
        <f t="shared" si="2"/>
        <v>0</v>
      </c>
      <c r="AE20" s="40"/>
      <c r="AF20" s="39"/>
      <c r="AG20" s="38"/>
      <c r="AH20" s="37"/>
      <c r="AI20" s="36"/>
      <c r="AJ20" s="36"/>
      <c r="AK20" s="17">
        <f t="shared" si="3"/>
        <v>0</v>
      </c>
      <c r="AL20" s="188">
        <v>11</v>
      </c>
    </row>
    <row r="21" spans="1:38" s="23" customFormat="1" ht="11.25" customHeight="1" outlineLevel="1" x14ac:dyDescent="0.2">
      <c r="A21" s="53"/>
      <c r="B21" s="146" t="s">
        <v>186</v>
      </c>
      <c r="C21" s="175" t="s">
        <v>211</v>
      </c>
      <c r="D21" s="147" t="str">
        <f>IFERROR(VLOOKUP(C21,'Material Comprado'!$B$3:$E$419,2,),"")</f>
        <v/>
      </c>
      <c r="E21" s="52" t="s">
        <v>187</v>
      </c>
      <c r="F21" s="157">
        <v>1</v>
      </c>
      <c r="G21" s="51"/>
      <c r="H21" s="148">
        <f t="shared" si="0"/>
        <v>12000</v>
      </c>
      <c r="I21" s="148">
        <f>'Dados de Entrada'!$K$9</f>
        <v>500</v>
      </c>
      <c r="J21" s="50">
        <f>'Dados de Entrada'!$M$9</f>
        <v>1</v>
      </c>
      <c r="K21" s="49"/>
      <c r="L21" s="37"/>
      <c r="M21" s="47"/>
      <c r="N21" s="55" t="str">
        <f>IFERROR(VLOOKUP(C21,'Custo Hora'!$B$3:$D$75,2,),"")</f>
        <v xml:space="preserve">TOE001 - T.CNC.H.10.15 TORNO CNC ERGOMAT TND200 </v>
      </c>
      <c r="O21" s="192"/>
      <c r="P21" s="149">
        <v>1.75</v>
      </c>
      <c r="Q21" s="149">
        <v>1</v>
      </c>
      <c r="R21" s="48"/>
      <c r="S21" s="47"/>
      <c r="T21" s="37"/>
      <c r="U21" s="37"/>
      <c r="V21" s="172" t="str">
        <f>IFERROR((VLOOKUP(C21,'Material Comprado'!$B$2:$E$439,4,FALSE)),"0")</f>
        <v>0</v>
      </c>
      <c r="W21" s="174">
        <f t="shared" si="1"/>
        <v>0</v>
      </c>
      <c r="X21" s="45"/>
      <c r="Y21" s="44"/>
      <c r="Z21" s="44"/>
      <c r="AA21" s="43"/>
      <c r="AB21" s="42">
        <f>IFERROR(((P21*VLOOKUP(C21,'Custo Hora'!$B$3:$D$75,3,)/60)*F21),"0")</f>
        <v>2.9166666666666665</v>
      </c>
      <c r="AC21" s="42">
        <f>IFERROR(((Q21*VLOOKUP(C21,'Custo Hora'!$B$3:$D$75,3,))/(I21/J21)),"0")</f>
        <v>0.2</v>
      </c>
      <c r="AD21" s="41">
        <f t="shared" si="2"/>
        <v>3.1166666666666667</v>
      </c>
      <c r="AE21" s="40"/>
      <c r="AF21" s="39"/>
      <c r="AG21" s="38"/>
      <c r="AH21" s="37"/>
      <c r="AI21" s="36"/>
      <c r="AJ21" s="36"/>
      <c r="AK21" s="17">
        <f t="shared" si="3"/>
        <v>5.2603450631262772E-3</v>
      </c>
      <c r="AL21" s="188">
        <v>12</v>
      </c>
    </row>
    <row r="22" spans="1:38" s="23" customFormat="1" ht="11.25" customHeight="1" outlineLevel="1" x14ac:dyDescent="0.2">
      <c r="A22" s="53"/>
      <c r="B22" s="146" t="s">
        <v>186</v>
      </c>
      <c r="C22" s="175" t="s">
        <v>211</v>
      </c>
      <c r="D22" s="147" t="str">
        <f>IFERROR(VLOOKUP(C22,'Material Comprado'!$B$3:$E$419,2,),"")</f>
        <v/>
      </c>
      <c r="E22" s="52" t="s">
        <v>187</v>
      </c>
      <c r="F22" s="157">
        <v>1</v>
      </c>
      <c r="G22" s="51"/>
      <c r="H22" s="148">
        <f t="shared" si="0"/>
        <v>12000</v>
      </c>
      <c r="I22" s="148">
        <f>'Dados de Entrada'!$K$9</f>
        <v>500</v>
      </c>
      <c r="J22" s="50">
        <f>'Dados de Entrada'!$M$9</f>
        <v>1</v>
      </c>
      <c r="K22" s="49"/>
      <c r="L22" s="37"/>
      <c r="M22" s="47"/>
      <c r="N22" s="55" t="str">
        <f>IFERROR(VLOOKUP(C22,'Custo Hora'!$B$3:$D$75,2,),"")</f>
        <v xml:space="preserve">TOE001 - T.CNC.H.10.15 TORNO CNC ERGOMAT TND200 </v>
      </c>
      <c r="O22" s="192"/>
      <c r="P22" s="149">
        <v>1</v>
      </c>
      <c r="Q22" s="149">
        <v>0.33</v>
      </c>
      <c r="R22" s="48"/>
      <c r="S22" s="47"/>
      <c r="T22" s="37"/>
      <c r="U22" s="37"/>
      <c r="V22" s="172" t="str">
        <f>IFERROR((VLOOKUP(C22,'Material Comprado'!$B$2:$E$439,4,FALSE)),"0")</f>
        <v>0</v>
      </c>
      <c r="W22" s="174">
        <f t="shared" si="1"/>
        <v>0</v>
      </c>
      <c r="X22" s="45"/>
      <c r="Y22" s="44"/>
      <c r="Z22" s="44"/>
      <c r="AA22" s="43"/>
      <c r="AB22" s="42">
        <f>IFERROR(((P22*VLOOKUP(C22,'Custo Hora'!$B$3:$D$75,3,)/60)*F22),"0")</f>
        <v>1.6666666666666667</v>
      </c>
      <c r="AC22" s="42">
        <f>IFERROR(((Q22*VLOOKUP(C22,'Custo Hora'!$B$3:$D$75,3,))/(I22/J22)),"0")</f>
        <v>6.6000000000000003E-2</v>
      </c>
      <c r="AD22" s="41">
        <f t="shared" si="2"/>
        <v>1.7326666666666668</v>
      </c>
      <c r="AE22" s="40"/>
      <c r="AF22" s="39"/>
      <c r="AG22" s="38"/>
      <c r="AH22" s="37"/>
      <c r="AI22" s="36"/>
      <c r="AJ22" s="36"/>
      <c r="AK22" s="17">
        <f t="shared" si="3"/>
        <v>2.9244142928481699E-3</v>
      </c>
      <c r="AL22" s="188">
        <v>13</v>
      </c>
    </row>
    <row r="23" spans="1:38" s="23" customFormat="1" ht="11.25" customHeight="1" outlineLevel="1" x14ac:dyDescent="0.2">
      <c r="A23" s="53"/>
      <c r="B23" s="146" t="s">
        <v>186</v>
      </c>
      <c r="C23" s="175" t="s">
        <v>40</v>
      </c>
      <c r="D23" s="147" t="str">
        <f>IFERROR(VLOOKUP(C23,'Material Comprado'!$B$3:$E$419,2,),"")</f>
        <v/>
      </c>
      <c r="E23" s="52" t="s">
        <v>187</v>
      </c>
      <c r="F23" s="157">
        <v>1</v>
      </c>
      <c r="G23" s="51"/>
      <c r="H23" s="148">
        <f t="shared" si="0"/>
        <v>12000</v>
      </c>
      <c r="I23" s="148">
        <f>'Dados de Entrada'!$K$9</f>
        <v>500</v>
      </c>
      <c r="J23" s="50">
        <f>'Dados de Entrada'!$M$9</f>
        <v>1</v>
      </c>
      <c r="K23" s="49"/>
      <c r="L23" s="37"/>
      <c r="M23" s="47"/>
      <c r="N23" s="55" t="str">
        <f>IFERROR(VLOOKUP(C23,'Custo Hora'!$B$3:$D$75,2,),"")</f>
        <v>MET001/MET002 - METROLOGIA 1 E</v>
      </c>
      <c r="O23" s="192"/>
      <c r="P23" s="149"/>
      <c r="Q23" s="149"/>
      <c r="R23" s="48"/>
      <c r="S23" s="47"/>
      <c r="T23" s="37"/>
      <c r="U23" s="37"/>
      <c r="V23" s="172" t="str">
        <f>IFERROR((VLOOKUP(C23,'Material Comprado'!$B$2:$E$439,4,FALSE)),"0")</f>
        <v>0</v>
      </c>
      <c r="W23" s="174">
        <f t="shared" si="1"/>
        <v>0</v>
      </c>
      <c r="X23" s="45"/>
      <c r="Y23" s="44"/>
      <c r="Z23" s="44"/>
      <c r="AA23" s="43"/>
      <c r="AB23" s="42">
        <f>IFERROR(((P23*VLOOKUP(C23,'Custo Hora'!$B$3:$D$75,3,)/60)*F23),"0")</f>
        <v>0</v>
      </c>
      <c r="AC23" s="42">
        <f>IFERROR(((Q23*VLOOKUP(C23,'Custo Hora'!$B$3:$D$75,3,))/(I23/J23)),"0")</f>
        <v>0</v>
      </c>
      <c r="AD23" s="41">
        <f t="shared" si="2"/>
        <v>0</v>
      </c>
      <c r="AE23" s="40"/>
      <c r="AF23" s="39"/>
      <c r="AG23" s="38"/>
      <c r="AH23" s="37"/>
      <c r="AI23" s="36"/>
      <c r="AJ23" s="36"/>
      <c r="AK23" s="17">
        <f t="shared" si="3"/>
        <v>0</v>
      </c>
      <c r="AL23" s="188">
        <v>14</v>
      </c>
    </row>
    <row r="24" spans="1:38" s="23" customFormat="1" ht="11.25" customHeight="1" outlineLevel="1" x14ac:dyDescent="0.2">
      <c r="A24" s="53"/>
      <c r="B24" s="146" t="s">
        <v>186</v>
      </c>
      <c r="C24" s="175" t="s">
        <v>212</v>
      </c>
      <c r="D24" s="147" t="str">
        <f>IFERROR(VLOOKUP(C24,'Material Comprado'!$B$3:$E$419,2,),"")</f>
        <v>ACO RED LAM 20MNCR5 Ø22,22 X 1</v>
      </c>
      <c r="E24" s="52" t="s">
        <v>179</v>
      </c>
      <c r="F24" s="157">
        <v>1</v>
      </c>
      <c r="G24" s="51"/>
      <c r="H24" s="148">
        <f t="shared" si="0"/>
        <v>12000</v>
      </c>
      <c r="I24" s="148">
        <f>'Dados de Entrada'!$K$9</f>
        <v>500</v>
      </c>
      <c r="J24" s="50">
        <f>'Dados de Entrada'!$M$9</f>
        <v>1</v>
      </c>
      <c r="K24" s="49"/>
      <c r="L24" s="37"/>
      <c r="M24" s="47"/>
      <c r="N24" s="150" t="str">
        <f>IFERROR(VLOOKUP(C24,'Custo Hora'!$B$3:$D$75,2,),"")</f>
        <v/>
      </c>
      <c r="O24" s="192"/>
      <c r="P24" s="145"/>
      <c r="Q24" s="145"/>
      <c r="R24" s="48"/>
      <c r="S24" s="47"/>
      <c r="T24" s="37"/>
      <c r="U24" s="37"/>
      <c r="V24" s="46">
        <f>IFERROR((VLOOKUP(C24,'Material Comprado'!$B$2:$E$439,4,FALSE)),"0")</f>
        <v>11.638999999999999</v>
      </c>
      <c r="W24" s="37">
        <f t="shared" si="1"/>
        <v>11.638999999999999</v>
      </c>
      <c r="X24" s="45"/>
      <c r="Y24" s="44"/>
      <c r="Z24" s="44"/>
      <c r="AA24" s="43"/>
      <c r="AB24" s="42" t="str">
        <f>IFERROR(((P24*VLOOKUP(C24,'Custo Hora'!$B$3:$D$75,3,)/60)*F24),"0")</f>
        <v>0</v>
      </c>
      <c r="AC24" s="42" t="str">
        <f>IFERROR(((Q24*VLOOKUP(C24,'Custo Hora'!$B$3:$D$75,3,))/(I24/J24)),"0")</f>
        <v>0</v>
      </c>
      <c r="AD24" s="41">
        <f t="shared" si="2"/>
        <v>11.638999999999999</v>
      </c>
      <c r="AE24" s="40"/>
      <c r="AF24" s="39"/>
      <c r="AG24" s="38"/>
      <c r="AH24" s="37"/>
      <c r="AI24" s="36"/>
      <c r="AJ24" s="36"/>
      <c r="AK24" s="17">
        <f t="shared" si="3"/>
        <v>1.9644435141088792E-2</v>
      </c>
      <c r="AL24" s="188">
        <v>15</v>
      </c>
    </row>
    <row r="25" spans="1:38" s="23" customFormat="1" ht="11.25" customHeight="1" outlineLevel="1" x14ac:dyDescent="0.2">
      <c r="A25" s="53"/>
      <c r="B25" s="146" t="s">
        <v>184</v>
      </c>
      <c r="C25" s="175" t="s">
        <v>213</v>
      </c>
      <c r="D25" s="147" t="str">
        <f>IFERROR(VLOOKUP(C25,'Material Comprado'!$B$3:$E$419,2,),"")</f>
        <v>EIXO DE SAIDA 13Z</v>
      </c>
      <c r="E25" s="52" t="s">
        <v>179</v>
      </c>
      <c r="F25" s="157">
        <v>1</v>
      </c>
      <c r="G25" s="51"/>
      <c r="H25" s="148">
        <f t="shared" si="0"/>
        <v>12000</v>
      </c>
      <c r="I25" s="148">
        <f>'Dados de Entrada'!$K$9</f>
        <v>500</v>
      </c>
      <c r="J25" s="50">
        <f>'Dados de Entrada'!$M$9</f>
        <v>1</v>
      </c>
      <c r="K25" s="49"/>
      <c r="L25" s="37"/>
      <c r="M25" s="47"/>
      <c r="N25" s="150" t="str">
        <f>IFERROR(VLOOKUP(C25,'Custo Hora'!$B$3:$D$75,2,),"")</f>
        <v/>
      </c>
      <c r="O25" s="192"/>
      <c r="P25" s="145"/>
      <c r="Q25" s="145"/>
      <c r="R25" s="48"/>
      <c r="S25" s="47"/>
      <c r="T25" s="37"/>
      <c r="U25" s="37"/>
      <c r="V25" s="46">
        <f>IFERROR((VLOOKUP(C25,'Material Comprado'!$B$2:$E$439,4,FALSE)),"0")</f>
        <v>0</v>
      </c>
      <c r="W25" s="37">
        <f t="shared" si="1"/>
        <v>0</v>
      </c>
      <c r="X25" s="45"/>
      <c r="Y25" s="44"/>
      <c r="Z25" s="44"/>
      <c r="AA25" s="43"/>
      <c r="AB25" s="42" t="str">
        <f>IFERROR(((P25*VLOOKUP(C25,'Custo Hora'!$B$3:$D$75,3,)/60)*F25),"0")</f>
        <v>0</v>
      </c>
      <c r="AC25" s="42" t="str">
        <f>IFERROR(((Q25*VLOOKUP(C25,'Custo Hora'!$B$3:$D$75,3,))/(I25/J25)),"0")</f>
        <v>0</v>
      </c>
      <c r="AD25" s="41">
        <f t="shared" si="2"/>
        <v>0</v>
      </c>
      <c r="AE25" s="40"/>
      <c r="AF25" s="39"/>
      <c r="AG25" s="38"/>
      <c r="AH25" s="37"/>
      <c r="AI25" s="36"/>
      <c r="AJ25" s="36"/>
      <c r="AK25" s="17">
        <f t="shared" si="3"/>
        <v>0</v>
      </c>
      <c r="AL25" s="188">
        <v>16</v>
      </c>
    </row>
    <row r="26" spans="1:38" s="23" customFormat="1" ht="11.25" customHeight="1" outlineLevel="1" x14ac:dyDescent="0.2">
      <c r="A26" s="53"/>
      <c r="B26" s="146" t="s">
        <v>185</v>
      </c>
      <c r="C26" s="175" t="s">
        <v>40</v>
      </c>
      <c r="D26" s="147" t="str">
        <f>IFERROR(VLOOKUP(C26,'Material Comprado'!$B$3:$E$419,2,),"")</f>
        <v/>
      </c>
      <c r="E26" s="52" t="s">
        <v>187</v>
      </c>
      <c r="F26" s="157">
        <v>1</v>
      </c>
      <c r="G26" s="51"/>
      <c r="H26" s="148">
        <f t="shared" si="0"/>
        <v>12000</v>
      </c>
      <c r="I26" s="148">
        <f>'Dados de Entrada'!$K$9</f>
        <v>500</v>
      </c>
      <c r="J26" s="50">
        <f>'Dados de Entrada'!$M$9</f>
        <v>1</v>
      </c>
      <c r="K26" s="49"/>
      <c r="L26" s="37"/>
      <c r="M26" s="47"/>
      <c r="N26" s="55" t="str">
        <f>IFERROR(VLOOKUP(C26,'Custo Hora'!$B$3:$D$75,2,),"")</f>
        <v>MET001/MET002 - METROLOGIA 1 E</v>
      </c>
      <c r="O26" s="192"/>
      <c r="P26" s="149"/>
      <c r="Q26" s="149"/>
      <c r="R26" s="48"/>
      <c r="S26" s="47"/>
      <c r="T26" s="37"/>
      <c r="U26" s="37"/>
      <c r="V26" s="172" t="str">
        <f>IFERROR((VLOOKUP(C26,'Material Comprado'!$B$2:$E$439,4,FALSE)),"0")</f>
        <v>0</v>
      </c>
      <c r="W26" s="174">
        <f t="shared" si="1"/>
        <v>0</v>
      </c>
      <c r="X26" s="45"/>
      <c r="Y26" s="44"/>
      <c r="Z26" s="44"/>
      <c r="AA26" s="43"/>
      <c r="AB26" s="42">
        <f>IFERROR(((P26*VLOOKUP(C26,'Custo Hora'!$B$3:$D$75,3,)/60)*F26),"0")</f>
        <v>0</v>
      </c>
      <c r="AC26" s="42">
        <f>IFERROR(((Q26*VLOOKUP(C26,'Custo Hora'!$B$3:$D$75,3,))/(I26/J26)),"0")</f>
        <v>0</v>
      </c>
      <c r="AD26" s="41">
        <f t="shared" si="2"/>
        <v>0</v>
      </c>
      <c r="AE26" s="40"/>
      <c r="AF26" s="39"/>
      <c r="AG26" s="38"/>
      <c r="AH26" s="37"/>
      <c r="AI26" s="36"/>
      <c r="AJ26" s="36"/>
      <c r="AK26" s="17">
        <f t="shared" si="3"/>
        <v>0</v>
      </c>
      <c r="AL26" s="188">
        <v>17</v>
      </c>
    </row>
    <row r="27" spans="1:38" s="23" customFormat="1" ht="11.25" customHeight="1" outlineLevel="1" x14ac:dyDescent="0.2">
      <c r="A27" s="53"/>
      <c r="B27" s="146" t="s">
        <v>185</v>
      </c>
      <c r="C27" s="175" t="s">
        <v>17</v>
      </c>
      <c r="D27" s="147" t="str">
        <f>IFERROR(VLOOKUP(C27,'Material Comprado'!$B$3:$E$419,2,),"")</f>
        <v/>
      </c>
      <c r="E27" s="52" t="s">
        <v>187</v>
      </c>
      <c r="F27" s="157">
        <v>1</v>
      </c>
      <c r="G27" s="51"/>
      <c r="H27" s="148">
        <f t="shared" si="0"/>
        <v>12000</v>
      </c>
      <c r="I27" s="148">
        <f>'Dados de Entrada'!$K$9</f>
        <v>500</v>
      </c>
      <c r="J27" s="50">
        <f>'Dados de Entrada'!$M$9</f>
        <v>1</v>
      </c>
      <c r="K27" s="49"/>
      <c r="L27" s="37"/>
      <c r="M27" s="47"/>
      <c r="N27" s="55" t="str">
        <f>IFERROR(VLOOKUP(C27,'Custo Hora'!$B$3:$D$75,2,),"")</f>
        <v xml:space="preserve">RET001 - RETIFICA CONV CILINDRICA VIGORELLI   </v>
      </c>
      <c r="O27" s="192"/>
      <c r="P27" s="149">
        <v>3</v>
      </c>
      <c r="Q27" s="149">
        <v>1</v>
      </c>
      <c r="R27" s="48"/>
      <c r="S27" s="47"/>
      <c r="T27" s="37"/>
      <c r="U27" s="37"/>
      <c r="V27" s="172" t="str">
        <f>IFERROR((VLOOKUP(C27,'Material Comprado'!$B$2:$E$439,4,FALSE)),"0")</f>
        <v>0</v>
      </c>
      <c r="W27" s="174">
        <f t="shared" si="1"/>
        <v>0</v>
      </c>
      <c r="X27" s="45"/>
      <c r="Y27" s="44"/>
      <c r="Z27" s="44"/>
      <c r="AA27" s="43"/>
      <c r="AB27" s="42">
        <f>IFERROR(((P27*VLOOKUP(C27,'Custo Hora'!$B$3:$D$75,3,)/60)*F27),"0")</f>
        <v>4</v>
      </c>
      <c r="AC27" s="42">
        <f>IFERROR(((Q27*VLOOKUP(C27,'Custo Hora'!$B$3:$D$75,3,))/(I27/J27)),"0")</f>
        <v>0.16</v>
      </c>
      <c r="AD27" s="41">
        <f t="shared" si="2"/>
        <v>4.16</v>
      </c>
      <c r="AE27" s="40"/>
      <c r="AF27" s="39"/>
      <c r="AG27" s="38"/>
      <c r="AH27" s="37"/>
      <c r="AI27" s="36"/>
      <c r="AJ27" s="36"/>
      <c r="AK27" s="17">
        <f t="shared" si="3"/>
        <v>7.0212948008359297E-3</v>
      </c>
      <c r="AL27" s="188">
        <v>18</v>
      </c>
    </row>
    <row r="28" spans="1:38" s="23" customFormat="1" ht="11.25" customHeight="1" outlineLevel="1" x14ac:dyDescent="0.2">
      <c r="A28" s="53"/>
      <c r="B28" s="146" t="s">
        <v>185</v>
      </c>
      <c r="C28" s="175" t="s">
        <v>58</v>
      </c>
      <c r="D28" s="147" t="str">
        <f>IFERROR(VLOOKUP(C28,'Material Comprado'!$B$3:$E$419,2,),"")</f>
        <v/>
      </c>
      <c r="E28" s="52" t="s">
        <v>187</v>
      </c>
      <c r="F28" s="157">
        <v>1</v>
      </c>
      <c r="G28" s="51"/>
      <c r="H28" s="148">
        <f t="shared" si="0"/>
        <v>12000</v>
      </c>
      <c r="I28" s="148">
        <f>'Dados de Entrada'!$K$9</f>
        <v>500</v>
      </c>
      <c r="J28" s="50">
        <f>'Dados de Entrada'!$M$9</f>
        <v>1</v>
      </c>
      <c r="K28" s="49"/>
      <c r="L28" s="37"/>
      <c r="M28" s="47"/>
      <c r="N28" s="55" t="str">
        <f>IFERROR(VLOOKUP(C28,'Custo Hora'!$B$3:$D$75,2,),"")</f>
        <v>APC001 - ARMAZENAMENTO PRODUTO</v>
      </c>
      <c r="O28" s="192"/>
      <c r="P28" s="149"/>
      <c r="Q28" s="149"/>
      <c r="R28" s="48"/>
      <c r="S28" s="47"/>
      <c r="T28" s="37"/>
      <c r="U28" s="37"/>
      <c r="V28" s="172" t="str">
        <f>IFERROR((VLOOKUP(C28,'Material Comprado'!$B$2:$E$439,4,FALSE)),"0")</f>
        <v>0</v>
      </c>
      <c r="W28" s="174">
        <f t="shared" si="1"/>
        <v>0</v>
      </c>
      <c r="X28" s="45"/>
      <c r="Y28" s="44"/>
      <c r="Z28" s="44"/>
      <c r="AA28" s="43"/>
      <c r="AB28" s="42">
        <f>IFERROR(((P28*VLOOKUP(C28,'Custo Hora'!$B$3:$D$75,3,)/60)*F28),"0")</f>
        <v>0</v>
      </c>
      <c r="AC28" s="42">
        <f>IFERROR(((Q28*VLOOKUP(C28,'Custo Hora'!$B$3:$D$75,3,))/(I28/J28)),"0")</f>
        <v>0</v>
      </c>
      <c r="AD28" s="41">
        <f t="shared" si="2"/>
        <v>0</v>
      </c>
      <c r="AE28" s="40"/>
      <c r="AF28" s="39"/>
      <c r="AG28" s="38"/>
      <c r="AH28" s="37"/>
      <c r="AI28" s="36"/>
      <c r="AJ28" s="36"/>
      <c r="AK28" s="17">
        <f t="shared" si="3"/>
        <v>0</v>
      </c>
      <c r="AL28" s="188">
        <v>19</v>
      </c>
    </row>
    <row r="29" spans="1:38" s="23" customFormat="1" ht="11.25" customHeight="1" outlineLevel="1" x14ac:dyDescent="0.2">
      <c r="A29" s="53"/>
      <c r="B29" s="146" t="s">
        <v>185</v>
      </c>
      <c r="C29" s="175" t="s">
        <v>214</v>
      </c>
      <c r="D29" s="147" t="str">
        <f>IFERROR(VLOOKUP(C29,'Material Comprado'!$B$3:$E$419,2,),"")</f>
        <v>CEMENTADO - EIXO DE SAIDA 13Z</v>
      </c>
      <c r="E29" s="52" t="s">
        <v>181</v>
      </c>
      <c r="F29" s="157">
        <v>1</v>
      </c>
      <c r="G29" s="51"/>
      <c r="H29" s="148">
        <f t="shared" si="0"/>
        <v>12000</v>
      </c>
      <c r="I29" s="148">
        <f>'Dados de Entrada'!$K$9</f>
        <v>500</v>
      </c>
      <c r="J29" s="50">
        <f>'Dados de Entrada'!$M$9</f>
        <v>1</v>
      </c>
      <c r="K29" s="49"/>
      <c r="L29" s="37"/>
      <c r="M29" s="47"/>
      <c r="N29" s="150" t="str">
        <f>IFERROR(VLOOKUP(C29,'Custo Hora'!$B$3:$D$75,2,),"")</f>
        <v/>
      </c>
      <c r="O29" s="192"/>
      <c r="P29" s="145"/>
      <c r="Q29" s="145"/>
      <c r="R29" s="48"/>
      <c r="S29" s="47"/>
      <c r="T29" s="37"/>
      <c r="U29" s="37"/>
      <c r="V29" s="46">
        <f>IFERROR((VLOOKUP(C29,'Material Comprado'!$B$2:$E$439,4,FALSE)),"0")</f>
        <v>3.0830000000000002</v>
      </c>
      <c r="W29" s="37">
        <f t="shared" si="1"/>
        <v>3.0830000000000002</v>
      </c>
      <c r="X29" s="45"/>
      <c r="Y29" s="44"/>
      <c r="Z29" s="44"/>
      <c r="AA29" s="43"/>
      <c r="AB29" s="42" t="str">
        <f>IFERROR(((P29*VLOOKUP(C29,'Custo Hora'!$B$3:$D$75,3,)/60)*F29),"0")</f>
        <v>0</v>
      </c>
      <c r="AC29" s="42" t="str">
        <f>IFERROR(((Q29*VLOOKUP(C29,'Custo Hora'!$B$3:$D$75,3,))/(I29/J29)),"0")</f>
        <v>0</v>
      </c>
      <c r="AD29" s="41">
        <f t="shared" si="2"/>
        <v>3.0830000000000002</v>
      </c>
      <c r="AE29" s="40"/>
      <c r="AF29" s="39"/>
      <c r="AG29" s="38"/>
      <c r="AH29" s="37"/>
      <c r="AI29" s="36"/>
      <c r="AJ29" s="36"/>
      <c r="AK29" s="17">
        <f t="shared" si="3"/>
        <v>5.2035220843695126E-3</v>
      </c>
      <c r="AL29" s="188">
        <v>20</v>
      </c>
    </row>
    <row r="30" spans="1:38" s="23" customFormat="1" ht="11.25" customHeight="1" outlineLevel="1" x14ac:dyDescent="0.2">
      <c r="A30" s="53"/>
      <c r="B30" s="146" t="s">
        <v>185</v>
      </c>
      <c r="C30" s="175" t="s">
        <v>215</v>
      </c>
      <c r="D30" s="147" t="str">
        <f>IFERROR(VLOOKUP(C30,'Material Comprado'!$B$3:$E$419,2,),"")</f>
        <v>USINADO - EIXO DE SAIDA 13Z</v>
      </c>
      <c r="E30" s="52" t="s">
        <v>179</v>
      </c>
      <c r="F30" s="157">
        <v>1</v>
      </c>
      <c r="G30" s="51"/>
      <c r="H30" s="148">
        <f t="shared" si="0"/>
        <v>12000</v>
      </c>
      <c r="I30" s="148">
        <f>'Dados de Entrada'!$K$9</f>
        <v>500</v>
      </c>
      <c r="J30" s="50">
        <f>'Dados de Entrada'!$M$9</f>
        <v>1</v>
      </c>
      <c r="K30" s="49"/>
      <c r="L30" s="37"/>
      <c r="M30" s="47"/>
      <c r="N30" s="150" t="str">
        <f>IFERROR(VLOOKUP(C30,'Custo Hora'!$B$3:$D$75,2,),"")</f>
        <v/>
      </c>
      <c r="O30" s="192"/>
      <c r="P30" s="145"/>
      <c r="Q30" s="145"/>
      <c r="R30" s="48"/>
      <c r="S30" s="47"/>
      <c r="T30" s="37"/>
      <c r="U30" s="37"/>
      <c r="V30" s="46">
        <f>IFERROR((VLOOKUP(C30,'Material Comprado'!$B$2:$E$439,4,FALSE)),"0")</f>
        <v>0</v>
      </c>
      <c r="W30" s="37">
        <f t="shared" si="1"/>
        <v>0</v>
      </c>
      <c r="X30" s="45"/>
      <c r="Y30" s="44"/>
      <c r="Z30" s="44"/>
      <c r="AA30" s="43"/>
      <c r="AB30" s="42" t="str">
        <f>IFERROR(((P30*VLOOKUP(C30,'Custo Hora'!$B$3:$D$75,3,)/60)*F30),"0")</f>
        <v>0</v>
      </c>
      <c r="AC30" s="42" t="str">
        <f>IFERROR(((Q30*VLOOKUP(C30,'Custo Hora'!$B$3:$D$75,3,))/(I30/J30)),"0")</f>
        <v>0</v>
      </c>
      <c r="AD30" s="41">
        <f t="shared" si="2"/>
        <v>0</v>
      </c>
      <c r="AE30" s="40"/>
      <c r="AF30" s="39"/>
      <c r="AG30" s="38"/>
      <c r="AH30" s="37"/>
      <c r="AI30" s="36"/>
      <c r="AJ30" s="36"/>
      <c r="AK30" s="17">
        <f t="shared" si="3"/>
        <v>0</v>
      </c>
      <c r="AL30" s="188">
        <v>21</v>
      </c>
    </row>
    <row r="31" spans="1:38" s="23" customFormat="1" ht="10.95" customHeight="1" outlineLevel="1" x14ac:dyDescent="0.2">
      <c r="A31" s="53"/>
      <c r="B31" s="146" t="s">
        <v>186</v>
      </c>
      <c r="C31" s="175" t="s">
        <v>58</v>
      </c>
      <c r="D31" s="147" t="str">
        <f>IFERROR(VLOOKUP(C31,'Material Comprado'!$B$3:$E$419,2,),"")</f>
        <v/>
      </c>
      <c r="E31" s="52" t="s">
        <v>187</v>
      </c>
      <c r="F31" s="157">
        <v>1</v>
      </c>
      <c r="G31" s="51"/>
      <c r="H31" s="148">
        <f t="shared" si="0"/>
        <v>12000</v>
      </c>
      <c r="I31" s="148">
        <f>'Dados de Entrada'!$K$9</f>
        <v>500</v>
      </c>
      <c r="J31" s="50">
        <f>'Dados de Entrada'!$M$9</f>
        <v>1</v>
      </c>
      <c r="K31" s="49"/>
      <c r="L31" s="37"/>
      <c r="M31" s="47"/>
      <c r="N31" s="55" t="str">
        <f>IFERROR(VLOOKUP(C31,'Custo Hora'!$B$3:$D$75,2,),"")</f>
        <v>APC001 - ARMAZENAMENTO PRODUTO</v>
      </c>
      <c r="O31" s="192"/>
      <c r="P31" s="149"/>
      <c r="Q31" s="149"/>
      <c r="R31" s="48"/>
      <c r="S31" s="47"/>
      <c r="T31" s="37"/>
      <c r="U31" s="37"/>
      <c r="V31" s="172" t="str">
        <f>IFERROR((VLOOKUP(C31,'Material Comprado'!$B$2:$E$439,4,FALSE)),"0")</f>
        <v>0</v>
      </c>
      <c r="W31" s="174">
        <f t="shared" si="1"/>
        <v>0</v>
      </c>
      <c r="X31" s="45"/>
      <c r="Y31" s="44"/>
      <c r="Z31" s="44"/>
      <c r="AA31" s="43"/>
      <c r="AB31" s="42">
        <f>IFERROR(((P31*VLOOKUP(C31,'Custo Hora'!$B$3:$D$75,3,)/60)*F31),"0")</f>
        <v>0</v>
      </c>
      <c r="AC31" s="42">
        <f>IFERROR(((Q31*VLOOKUP(C31,'Custo Hora'!$B$3:$D$75,3,))/(I31/J31)),"0")</f>
        <v>0</v>
      </c>
      <c r="AD31" s="41">
        <f t="shared" si="2"/>
        <v>0</v>
      </c>
      <c r="AE31" s="40"/>
      <c r="AF31" s="39"/>
      <c r="AG31" s="38"/>
      <c r="AH31" s="37"/>
      <c r="AI31" s="36"/>
      <c r="AJ31" s="36"/>
      <c r="AK31" s="17">
        <f t="shared" si="3"/>
        <v>0</v>
      </c>
      <c r="AL31" s="188">
        <v>22</v>
      </c>
    </row>
    <row r="32" spans="1:38" s="23" customFormat="1" ht="11.25" customHeight="1" outlineLevel="1" x14ac:dyDescent="0.2">
      <c r="A32" s="53"/>
      <c r="B32" s="146" t="s">
        <v>186</v>
      </c>
      <c r="C32" s="175" t="s">
        <v>216</v>
      </c>
      <c r="D32" s="147" t="str">
        <f>IFERROR(VLOOKUP(C32,'Material Comprado'!$B$3:$E$419,2,),"")</f>
        <v/>
      </c>
      <c r="E32" s="52" t="s">
        <v>187</v>
      </c>
      <c r="F32" s="157">
        <v>1</v>
      </c>
      <c r="G32" s="51"/>
      <c r="H32" s="148">
        <f t="shared" si="0"/>
        <v>12000</v>
      </c>
      <c r="I32" s="148">
        <f>'Dados de Entrada'!$K$9</f>
        <v>500</v>
      </c>
      <c r="J32" s="50">
        <f>'Dados de Entrada'!$M$9</f>
        <v>1</v>
      </c>
      <c r="K32" s="49"/>
      <c r="L32" s="37"/>
      <c r="M32" s="47"/>
      <c r="N32" s="55" t="str">
        <f>IFERROR(VLOOKUP(C32,'Custo Hora'!$B$3:$D$75,2,),"")</f>
        <v xml:space="preserve">TOD007 - TORNO CNC DOOSAN LYNX 220                </v>
      </c>
      <c r="O32" s="192"/>
      <c r="P32" s="149">
        <v>2.5</v>
      </c>
      <c r="Q32" s="149">
        <v>1</v>
      </c>
      <c r="R32" s="48"/>
      <c r="S32" s="47"/>
      <c r="T32" s="37"/>
      <c r="U32" s="37"/>
      <c r="V32" s="172" t="str">
        <f>IFERROR((VLOOKUP(C32,'Material Comprado'!$B$2:$E$439,4,FALSE)),"0")</f>
        <v>0</v>
      </c>
      <c r="W32" s="174">
        <f t="shared" si="1"/>
        <v>0</v>
      </c>
      <c r="X32" s="45"/>
      <c r="Y32" s="44"/>
      <c r="Z32" s="44"/>
      <c r="AA32" s="43"/>
      <c r="AB32" s="42">
        <f>IFERROR(((P32*VLOOKUP(C32,'Custo Hora'!$B$3:$D$75,3,)/60)*F32),"0")</f>
        <v>4.166666666666667</v>
      </c>
      <c r="AC32" s="42">
        <f>IFERROR(((Q32*VLOOKUP(C32,'Custo Hora'!$B$3:$D$75,3,))/(I32/J32)),"0")</f>
        <v>0.2</v>
      </c>
      <c r="AD32" s="41">
        <f t="shared" si="2"/>
        <v>4.3666666666666671</v>
      </c>
      <c r="AE32" s="40"/>
      <c r="AF32" s="39"/>
      <c r="AG32" s="38"/>
      <c r="AH32" s="37"/>
      <c r="AI32" s="36"/>
      <c r="AJ32" s="36"/>
      <c r="AK32" s="17">
        <f t="shared" si="3"/>
        <v>7.3701091258774583E-3</v>
      </c>
      <c r="AL32" s="188">
        <v>23</v>
      </c>
    </row>
    <row r="33" spans="1:38" s="23" customFormat="1" ht="11.25" customHeight="1" outlineLevel="1" x14ac:dyDescent="0.2">
      <c r="A33" s="53"/>
      <c r="B33" s="146" t="s">
        <v>186</v>
      </c>
      <c r="C33" s="175" t="s">
        <v>217</v>
      </c>
      <c r="D33" s="147" t="str">
        <f>IFERROR(VLOOKUP(C33,'Material Comprado'!$B$3:$E$419,2,),"")</f>
        <v/>
      </c>
      <c r="E33" s="52" t="s">
        <v>187</v>
      </c>
      <c r="F33" s="157">
        <v>1</v>
      </c>
      <c r="G33" s="51"/>
      <c r="H33" s="148">
        <f t="shared" si="0"/>
        <v>12000</v>
      </c>
      <c r="I33" s="148">
        <f>'Dados de Entrada'!$K$9</f>
        <v>500</v>
      </c>
      <c r="J33" s="50">
        <f>'Dados de Entrada'!$M$9</f>
        <v>1</v>
      </c>
      <c r="K33" s="49"/>
      <c r="L33" s="37"/>
      <c r="M33" s="47"/>
      <c r="N33" s="55" t="str">
        <f>IFERROR(VLOOKUP(C33,'Custo Hora'!$B$3:$D$75,2,),"")</f>
        <v xml:space="preserve">TOI012 - TORNO INDEX 9 MC170                 </v>
      </c>
      <c r="O33" s="192"/>
      <c r="P33" s="149">
        <v>2</v>
      </c>
      <c r="Q33" s="149">
        <v>1</v>
      </c>
      <c r="R33" s="48"/>
      <c r="S33" s="47"/>
      <c r="T33" s="37"/>
      <c r="U33" s="37"/>
      <c r="V33" s="172" t="str">
        <f>IFERROR((VLOOKUP(C33,'Material Comprado'!$B$2:$E$439,4,FALSE)),"0")</f>
        <v>0</v>
      </c>
      <c r="W33" s="174">
        <f t="shared" si="1"/>
        <v>0</v>
      </c>
      <c r="X33" s="45"/>
      <c r="Y33" s="44"/>
      <c r="Z33" s="44"/>
      <c r="AA33" s="43"/>
      <c r="AB33" s="42">
        <f>IFERROR(((P33*VLOOKUP(C33,'Custo Hora'!$B$3:$D$75,3,)/60)*F33),"0")</f>
        <v>3.3333333333333335</v>
      </c>
      <c r="AC33" s="42">
        <f>IFERROR(((Q33*VLOOKUP(C33,'Custo Hora'!$B$3:$D$75,3,))/(I33/J33)),"0")</f>
        <v>0.2</v>
      </c>
      <c r="AD33" s="41">
        <f t="shared" si="2"/>
        <v>3.5333333333333337</v>
      </c>
      <c r="AE33" s="40"/>
      <c r="AF33" s="39"/>
      <c r="AG33" s="38"/>
      <c r="AH33" s="37"/>
      <c r="AI33" s="36"/>
      <c r="AJ33" s="36"/>
      <c r="AK33" s="17">
        <f t="shared" si="3"/>
        <v>5.9635997507100046E-3</v>
      </c>
      <c r="AL33" s="188">
        <v>24</v>
      </c>
    </row>
    <row r="34" spans="1:38" s="23" customFormat="1" ht="11.25" customHeight="1" outlineLevel="1" x14ac:dyDescent="0.2">
      <c r="A34" s="53"/>
      <c r="B34" s="146" t="s">
        <v>186</v>
      </c>
      <c r="C34" s="175" t="s">
        <v>218</v>
      </c>
      <c r="D34" s="147" t="str">
        <f>IFERROR(VLOOKUP(C34,'Material Comprado'!$B$3:$E$419,2,),"")</f>
        <v/>
      </c>
      <c r="E34" s="52" t="s">
        <v>187</v>
      </c>
      <c r="F34" s="157">
        <v>1</v>
      </c>
      <c r="G34" s="51"/>
      <c r="H34" s="148">
        <f t="shared" si="0"/>
        <v>12000</v>
      </c>
      <c r="I34" s="148">
        <f>'Dados de Entrada'!$K$9</f>
        <v>500</v>
      </c>
      <c r="J34" s="50">
        <f>'Dados de Entrada'!$M$9</f>
        <v>1</v>
      </c>
      <c r="K34" s="49"/>
      <c r="L34" s="37"/>
      <c r="M34" s="47"/>
      <c r="N34" s="55" t="str">
        <f>IFERROR(VLOOKUP(C34,'Custo Hora'!$B$3:$D$75,2,),"")</f>
        <v xml:space="preserve">GEC002 - GERADORA CV CARACOL CLEVELAND - 1    </v>
      </c>
      <c r="O34" s="192"/>
      <c r="P34" s="149">
        <v>6</v>
      </c>
      <c r="Q34" s="149">
        <v>0.5</v>
      </c>
      <c r="R34" s="48"/>
      <c r="S34" s="47"/>
      <c r="T34" s="37"/>
      <c r="U34" s="37"/>
      <c r="V34" s="172" t="str">
        <f>IFERROR((VLOOKUP(C34,'Material Comprado'!$B$2:$E$439,4,FALSE)),"0")</f>
        <v>0</v>
      </c>
      <c r="W34" s="174">
        <f t="shared" si="1"/>
        <v>0</v>
      </c>
      <c r="X34" s="45"/>
      <c r="Y34" s="44"/>
      <c r="Z34" s="44"/>
      <c r="AA34" s="43"/>
      <c r="AB34" s="42">
        <f>IFERROR(((P34*VLOOKUP(C34,'Custo Hora'!$B$3:$D$75,3,)/60)*F34),"0")</f>
        <v>8</v>
      </c>
      <c r="AC34" s="42">
        <f>IFERROR(((Q34*VLOOKUP(C34,'Custo Hora'!$B$3:$D$75,3,))/(I34/J34)),"0")</f>
        <v>0.08</v>
      </c>
      <c r="AD34" s="41">
        <f t="shared" si="2"/>
        <v>8.08</v>
      </c>
      <c r="AE34" s="40"/>
      <c r="AF34" s="39"/>
      <c r="AG34" s="38"/>
      <c r="AH34" s="37"/>
      <c r="AI34" s="36"/>
      <c r="AJ34" s="36"/>
      <c r="AK34" s="17">
        <f t="shared" si="3"/>
        <v>1.3637514901623632E-2</v>
      </c>
      <c r="AL34" s="188">
        <v>25</v>
      </c>
    </row>
    <row r="35" spans="1:38" s="23" customFormat="1" ht="11.25" customHeight="1" outlineLevel="1" x14ac:dyDescent="0.2">
      <c r="A35" s="53"/>
      <c r="B35" s="146" t="s">
        <v>186</v>
      </c>
      <c r="C35" s="182" t="s">
        <v>148</v>
      </c>
      <c r="D35" s="147" t="str">
        <f>IFERROR(VLOOKUP(C35,'Material Comprado'!$B$3:$E$419,2,),"")</f>
        <v/>
      </c>
      <c r="E35" s="52" t="s">
        <v>187</v>
      </c>
      <c r="F35" s="157">
        <v>1</v>
      </c>
      <c r="G35" s="51"/>
      <c r="H35" s="148">
        <f t="shared" si="0"/>
        <v>12000</v>
      </c>
      <c r="I35" s="148">
        <f>'Dados de Entrada'!$K$9</f>
        <v>500</v>
      </c>
      <c r="J35" s="50">
        <f>'Dados de Entrada'!$M$9</f>
        <v>1</v>
      </c>
      <c r="K35" s="49"/>
      <c r="L35" s="37"/>
      <c r="M35" s="47"/>
      <c r="N35" s="55" t="str">
        <f>IFERROR(VLOOKUP(C35,'Custo Hora'!$B$3:$D$75,2,),"")</f>
        <v>GEF005 - F.CV.V.20.03 GERADORA</v>
      </c>
      <c r="O35" s="192"/>
      <c r="P35" s="149">
        <v>5</v>
      </c>
      <c r="Q35" s="149">
        <v>0.5</v>
      </c>
      <c r="R35" s="48"/>
      <c r="S35" s="47"/>
      <c r="T35" s="37"/>
      <c r="U35" s="37"/>
      <c r="V35" s="172" t="str">
        <f>IFERROR((VLOOKUP(C35,'Material Comprado'!$B$2:$E$439,4,FALSE)),"0")</f>
        <v>0</v>
      </c>
      <c r="W35" s="174">
        <f t="shared" si="1"/>
        <v>0</v>
      </c>
      <c r="X35" s="45"/>
      <c r="Y35" s="44"/>
      <c r="Z35" s="44"/>
      <c r="AA35" s="43"/>
      <c r="AB35" s="42">
        <f>IFERROR(((P35*VLOOKUP(C35,'Custo Hora'!$B$3:$D$75,3,)/60)*F35),"0")</f>
        <v>6.666666666666667</v>
      </c>
      <c r="AC35" s="42">
        <f>IFERROR(((Q35*VLOOKUP(C35,'Custo Hora'!$B$3:$D$75,3,))/(I35/J35)),"0")</f>
        <v>0.08</v>
      </c>
      <c r="AD35" s="41">
        <f t="shared" si="2"/>
        <v>6.746666666666667</v>
      </c>
      <c r="AE35" s="40"/>
      <c r="AF35" s="39"/>
      <c r="AG35" s="38"/>
      <c r="AH35" s="37"/>
      <c r="AI35" s="36"/>
      <c r="AJ35" s="36"/>
      <c r="AK35" s="17">
        <f t="shared" si="3"/>
        <v>1.1387099901355707E-2</v>
      </c>
      <c r="AL35" s="188">
        <v>26</v>
      </c>
    </row>
    <row r="36" spans="1:38" s="23" customFormat="1" ht="11.25" customHeight="1" outlineLevel="1" x14ac:dyDescent="0.2">
      <c r="A36" s="53"/>
      <c r="B36" s="146" t="s">
        <v>186</v>
      </c>
      <c r="C36" s="175" t="s">
        <v>40</v>
      </c>
      <c r="D36" s="147" t="str">
        <f>IFERROR(VLOOKUP(C36,'Material Comprado'!$B$3:$E$419,2,),"")</f>
        <v/>
      </c>
      <c r="E36" s="52" t="s">
        <v>187</v>
      </c>
      <c r="F36" s="157">
        <v>1</v>
      </c>
      <c r="G36" s="51"/>
      <c r="H36" s="148">
        <f t="shared" si="0"/>
        <v>12000</v>
      </c>
      <c r="I36" s="148">
        <f>'Dados de Entrada'!$K$9</f>
        <v>500</v>
      </c>
      <c r="J36" s="50">
        <f>'Dados de Entrada'!$M$9</f>
        <v>1</v>
      </c>
      <c r="K36" s="49"/>
      <c r="L36" s="37"/>
      <c r="M36" s="47"/>
      <c r="N36" s="55" t="str">
        <f>IFERROR(VLOOKUP(C36,'Custo Hora'!$B$3:$D$75,2,),"")</f>
        <v>MET001/MET002 - METROLOGIA 1 E</v>
      </c>
      <c r="O36" s="192"/>
      <c r="P36" s="149"/>
      <c r="Q36" s="149"/>
      <c r="R36" s="48"/>
      <c r="S36" s="47"/>
      <c r="T36" s="37"/>
      <c r="U36" s="37"/>
      <c r="V36" s="172" t="str">
        <f>IFERROR((VLOOKUP(C36,'Material Comprado'!$B$2:$E$439,4,FALSE)),"0")</f>
        <v>0</v>
      </c>
      <c r="W36" s="174">
        <f t="shared" si="1"/>
        <v>0</v>
      </c>
      <c r="X36" s="45"/>
      <c r="Y36" s="44"/>
      <c r="Z36" s="44"/>
      <c r="AA36" s="43"/>
      <c r="AB36" s="42">
        <f>IFERROR(((P36*VLOOKUP(C36,'Custo Hora'!$B$3:$D$75,3,)/60)*F36),"0")</f>
        <v>0</v>
      </c>
      <c r="AC36" s="42">
        <f>IFERROR(((Q36*VLOOKUP(C36,'Custo Hora'!$B$3:$D$75,3,))/(I36/J36)),"0")</f>
        <v>0</v>
      </c>
      <c r="AD36" s="41">
        <f t="shared" si="2"/>
        <v>0</v>
      </c>
      <c r="AE36" s="40"/>
      <c r="AF36" s="39"/>
      <c r="AG36" s="38"/>
      <c r="AH36" s="37"/>
      <c r="AI36" s="36"/>
      <c r="AJ36" s="36"/>
      <c r="AK36" s="17">
        <f t="shared" si="3"/>
        <v>0</v>
      </c>
      <c r="AL36" s="188">
        <v>27</v>
      </c>
    </row>
    <row r="37" spans="1:38" s="23" customFormat="1" ht="9" customHeight="1" outlineLevel="1" x14ac:dyDescent="0.2">
      <c r="A37" s="53"/>
      <c r="B37" s="146" t="s">
        <v>186</v>
      </c>
      <c r="C37" s="175" t="s">
        <v>219</v>
      </c>
      <c r="D37" s="147" t="str">
        <f>IFERROR(VLOOKUP(C37,'Material Comprado'!$B$3:$E$419,2,),"")</f>
        <v>ACO RED LAM 20MNCR5 Ø41,27 X 1</v>
      </c>
      <c r="E37" s="52" t="s">
        <v>179</v>
      </c>
      <c r="F37" s="157">
        <v>1</v>
      </c>
      <c r="G37" s="51"/>
      <c r="H37" s="148">
        <f t="shared" si="0"/>
        <v>12000</v>
      </c>
      <c r="I37" s="148">
        <f>'Dados de Entrada'!$K$9</f>
        <v>500</v>
      </c>
      <c r="J37" s="50">
        <f>'Dados de Entrada'!$M$9</f>
        <v>1</v>
      </c>
      <c r="K37" s="49"/>
      <c r="L37" s="37"/>
      <c r="M37" s="47"/>
      <c r="N37" s="150" t="str">
        <f>IFERROR(VLOOKUP(C37,'Custo Hora'!$B$3:$D$75,2,),"")</f>
        <v/>
      </c>
      <c r="O37" s="192"/>
      <c r="P37" s="145"/>
      <c r="Q37" s="145"/>
      <c r="R37" s="48"/>
      <c r="S37" s="47"/>
      <c r="T37" s="37"/>
      <c r="U37" s="37"/>
      <c r="V37" s="46">
        <f>IFERROR((VLOOKUP(C37,'Material Comprado'!$B$2:$E$439,4,FALSE)),"0")</f>
        <v>19.908000000000001</v>
      </c>
      <c r="W37" s="37">
        <f t="shared" si="1"/>
        <v>19.908000000000001</v>
      </c>
      <c r="X37" s="45"/>
      <c r="Y37" s="44"/>
      <c r="Z37" s="44"/>
      <c r="AA37" s="43"/>
      <c r="AB37" s="42" t="str">
        <f>IFERROR(((P37*VLOOKUP(C37,'Custo Hora'!$B$3:$D$75,3,)/60)*F37),"0")</f>
        <v>0</v>
      </c>
      <c r="AC37" s="42" t="str">
        <f>IFERROR(((Q37*VLOOKUP(C37,'Custo Hora'!$B$3:$D$75,3,))/(I37/J37)),"0")</f>
        <v>0</v>
      </c>
      <c r="AD37" s="41">
        <f t="shared" si="2"/>
        <v>19.908000000000001</v>
      </c>
      <c r="AE37" s="40"/>
      <c r="AF37" s="39"/>
      <c r="AG37" s="38"/>
      <c r="AH37" s="37"/>
      <c r="AI37" s="36"/>
      <c r="AJ37" s="36"/>
      <c r="AK37" s="17">
        <f t="shared" si="3"/>
        <v>3.3600946369000406E-2</v>
      </c>
      <c r="AL37" s="188">
        <v>28</v>
      </c>
    </row>
    <row r="38" spans="1:38" s="23" customFormat="1" ht="11.25" customHeight="1" outlineLevel="1" x14ac:dyDescent="0.2">
      <c r="A38" s="53"/>
      <c r="B38" s="146" t="s">
        <v>184</v>
      </c>
      <c r="C38" s="175" t="s">
        <v>220</v>
      </c>
      <c r="D38" s="147" t="str">
        <f>IFERROR(VLOOKUP(C38,'Material Comprado'!$B$3:$E$419,2,),"")</f>
        <v>CARCACA USINADA TF 75 DELIVERY</v>
      </c>
      <c r="E38" s="52" t="s">
        <v>181</v>
      </c>
      <c r="F38" s="157">
        <v>1</v>
      </c>
      <c r="G38" s="51"/>
      <c r="H38" s="148">
        <f t="shared" si="0"/>
        <v>12000</v>
      </c>
      <c r="I38" s="148">
        <f>'Dados de Entrada'!$K$9</f>
        <v>500</v>
      </c>
      <c r="J38" s="50">
        <f>'Dados de Entrada'!$M$9</f>
        <v>1</v>
      </c>
      <c r="K38" s="49"/>
      <c r="L38" s="37"/>
      <c r="M38" s="47"/>
      <c r="N38" s="150" t="str">
        <f>IFERROR(VLOOKUP(C38,'Custo Hora'!$B$3:$D$75,2,),"")</f>
        <v/>
      </c>
      <c r="O38" s="192"/>
      <c r="P38" s="145"/>
      <c r="Q38" s="145"/>
      <c r="R38" s="48"/>
      <c r="S38" s="47"/>
      <c r="T38" s="37"/>
      <c r="U38" s="37"/>
      <c r="V38" s="46">
        <f>IFERROR((VLOOKUP(C38,'Material Comprado'!$B$2:$E$439,4,FALSE)),"0")</f>
        <v>0</v>
      </c>
      <c r="W38" s="37">
        <f t="shared" si="1"/>
        <v>0</v>
      </c>
      <c r="X38" s="45"/>
      <c r="Y38" s="44"/>
      <c r="Z38" s="44"/>
      <c r="AA38" s="43"/>
      <c r="AB38" s="42" t="str">
        <f>IFERROR(((P38*VLOOKUP(C38,'Custo Hora'!$B$3:$D$75,3,)/60)*F38),"0")</f>
        <v>0</v>
      </c>
      <c r="AC38" s="42" t="str">
        <f>IFERROR(((Q38*VLOOKUP(C38,'Custo Hora'!$B$3:$D$75,3,))/(I38/J38)),"0")</f>
        <v>0</v>
      </c>
      <c r="AD38" s="41">
        <f t="shared" si="2"/>
        <v>0</v>
      </c>
      <c r="AE38" s="40"/>
      <c r="AF38" s="39"/>
      <c r="AG38" s="38"/>
      <c r="AH38" s="37"/>
      <c r="AI38" s="36"/>
      <c r="AJ38" s="36"/>
      <c r="AK38" s="17">
        <f t="shared" si="3"/>
        <v>0</v>
      </c>
      <c r="AL38" s="188">
        <v>29</v>
      </c>
    </row>
    <row r="39" spans="1:38" s="23" customFormat="1" ht="11.25" customHeight="1" outlineLevel="1" x14ac:dyDescent="0.2">
      <c r="A39" s="53"/>
      <c r="B39" s="146" t="s">
        <v>185</v>
      </c>
      <c r="C39" s="175" t="s">
        <v>58</v>
      </c>
      <c r="D39" s="147" t="str">
        <f>IFERROR(VLOOKUP(C39,'Material Comprado'!$B$3:$E$419,2,),"")</f>
        <v/>
      </c>
      <c r="E39" s="52" t="s">
        <v>187</v>
      </c>
      <c r="F39" s="157">
        <v>1</v>
      </c>
      <c r="G39" s="51"/>
      <c r="H39" s="148">
        <f t="shared" si="0"/>
        <v>12000</v>
      </c>
      <c r="I39" s="148">
        <f>'Dados de Entrada'!$K$9</f>
        <v>500</v>
      </c>
      <c r="J39" s="50">
        <f>'Dados de Entrada'!$M$9</f>
        <v>1</v>
      </c>
      <c r="K39" s="49"/>
      <c r="L39" s="37"/>
      <c r="M39" s="47"/>
      <c r="N39" s="55" t="str">
        <f>IFERROR(VLOOKUP(C39,'Custo Hora'!$B$3:$D$75,2,),"")</f>
        <v>APC001 - ARMAZENAMENTO PRODUTO</v>
      </c>
      <c r="O39" s="192"/>
      <c r="P39" s="149"/>
      <c r="Q39" s="149"/>
      <c r="R39" s="48"/>
      <c r="S39" s="47"/>
      <c r="T39" s="37"/>
      <c r="U39" s="37"/>
      <c r="V39" s="172" t="str">
        <f>IFERROR((VLOOKUP(C39,'Material Comprado'!$B$2:$E$439,4,FALSE)),"0")</f>
        <v>0</v>
      </c>
      <c r="W39" s="174">
        <f t="shared" si="1"/>
        <v>0</v>
      </c>
      <c r="X39" s="45"/>
      <c r="Y39" s="44"/>
      <c r="Z39" s="44"/>
      <c r="AA39" s="43"/>
      <c r="AB39" s="42">
        <f>IFERROR(((P39*VLOOKUP(C39,'Custo Hora'!$B$3:$D$75,3,)/60)*F39),"0")</f>
        <v>0</v>
      </c>
      <c r="AC39" s="42">
        <f>IFERROR(((Q39*VLOOKUP(C39,'Custo Hora'!$B$3:$D$75,3,))/(I39/J39)),"0")</f>
        <v>0</v>
      </c>
      <c r="AD39" s="41">
        <f t="shared" si="2"/>
        <v>0</v>
      </c>
      <c r="AE39" s="40"/>
      <c r="AF39" s="39"/>
      <c r="AG39" s="38"/>
      <c r="AH39" s="37"/>
      <c r="AI39" s="36"/>
      <c r="AJ39" s="36"/>
      <c r="AK39" s="17">
        <f t="shared" si="3"/>
        <v>0</v>
      </c>
      <c r="AL39" s="188">
        <v>30</v>
      </c>
    </row>
    <row r="40" spans="1:38" s="23" customFormat="1" ht="11.25" customHeight="1" outlineLevel="1" x14ac:dyDescent="0.2">
      <c r="A40" s="53"/>
      <c r="B40" s="146" t="s">
        <v>185</v>
      </c>
      <c r="C40" s="175" t="s">
        <v>143</v>
      </c>
      <c r="D40" s="147" t="str">
        <f>IFERROR(VLOOKUP(C40,'Material Comprado'!$B$3:$E$419,2,),"")</f>
        <v/>
      </c>
      <c r="E40" s="52" t="s">
        <v>187</v>
      </c>
      <c r="F40" s="157">
        <v>1</v>
      </c>
      <c r="G40" s="51"/>
      <c r="H40" s="148">
        <f t="shared" si="0"/>
        <v>12000</v>
      </c>
      <c r="I40" s="148">
        <f>'Dados de Entrada'!$K$9</f>
        <v>500</v>
      </c>
      <c r="J40" s="50">
        <f>'Dados de Entrada'!$M$9</f>
        <v>1</v>
      </c>
      <c r="K40" s="49"/>
      <c r="L40" s="37"/>
      <c r="M40" s="47"/>
      <c r="N40" s="55" t="str">
        <f>IFERROR(VLOOKUP(C40,'Custo Hora'!$B$3:$D$75,2,),"")</f>
        <v>FRH010 - FRESADORA HELLER MCPH 250</v>
      </c>
      <c r="O40" s="192"/>
      <c r="P40" s="149">
        <v>26</v>
      </c>
      <c r="Q40" s="149">
        <v>1</v>
      </c>
      <c r="R40" s="48"/>
      <c r="S40" s="47"/>
      <c r="T40" s="37"/>
      <c r="U40" s="37"/>
      <c r="V40" s="172" t="str">
        <f>IFERROR((VLOOKUP(C40,'Material Comprado'!$B$2:$E$439,4,FALSE)),"0")</f>
        <v>0</v>
      </c>
      <c r="W40" s="174">
        <f t="shared" si="1"/>
        <v>0</v>
      </c>
      <c r="X40" s="45"/>
      <c r="Y40" s="44"/>
      <c r="Z40" s="44"/>
      <c r="AA40" s="43"/>
      <c r="AB40" s="42">
        <f>IFERROR(((P40*VLOOKUP(C40,'Custo Hora'!$B$3:$D$75,3,)/60)*F40),"0")</f>
        <v>52</v>
      </c>
      <c r="AC40" s="42">
        <f>IFERROR(((Q40*VLOOKUP(C40,'Custo Hora'!$B$3:$D$75,3,))/(I40/J40)),"0")</f>
        <v>0.24</v>
      </c>
      <c r="AD40" s="41">
        <f t="shared" si="2"/>
        <v>52.24</v>
      </c>
      <c r="AE40" s="40"/>
      <c r="AF40" s="39"/>
      <c r="AG40" s="38"/>
      <c r="AH40" s="37"/>
      <c r="AI40" s="36"/>
      <c r="AJ40" s="36"/>
      <c r="AK40" s="17">
        <f t="shared" si="3"/>
        <v>8.8171259710497343E-2</v>
      </c>
      <c r="AL40" s="188">
        <v>31</v>
      </c>
    </row>
    <row r="41" spans="1:38" s="23" customFormat="1" ht="11.25" customHeight="1" outlineLevel="1" x14ac:dyDescent="0.2">
      <c r="A41" s="53"/>
      <c r="B41" s="146" t="s">
        <v>185</v>
      </c>
      <c r="C41" s="175" t="s">
        <v>58</v>
      </c>
      <c r="D41" s="147" t="str">
        <f>IFERROR(VLOOKUP(C41,'Material Comprado'!$B$3:$E$419,2,),"")</f>
        <v/>
      </c>
      <c r="E41" s="52" t="s">
        <v>187</v>
      </c>
      <c r="F41" s="157">
        <v>1</v>
      </c>
      <c r="G41" s="51"/>
      <c r="H41" s="148">
        <f t="shared" si="0"/>
        <v>12000</v>
      </c>
      <c r="I41" s="148">
        <f>'Dados de Entrada'!$K$9</f>
        <v>500</v>
      </c>
      <c r="J41" s="50">
        <f>'Dados de Entrada'!$M$9</f>
        <v>1</v>
      </c>
      <c r="K41" s="49"/>
      <c r="L41" s="37"/>
      <c r="M41" s="47"/>
      <c r="N41" s="55" t="str">
        <f>IFERROR(VLOOKUP(C41,'Custo Hora'!$B$3:$D$75,2,),"")</f>
        <v>APC001 - ARMAZENAMENTO PRODUTO</v>
      </c>
      <c r="O41" s="192"/>
      <c r="P41" s="149"/>
      <c r="Q41" s="149"/>
      <c r="R41" s="48"/>
      <c r="S41" s="47"/>
      <c r="T41" s="37"/>
      <c r="U41" s="37"/>
      <c r="V41" s="172" t="str">
        <f>IFERROR((VLOOKUP(C41,'Material Comprado'!$B$2:$E$439,4,FALSE)),"0")</f>
        <v>0</v>
      </c>
      <c r="W41" s="174">
        <f t="shared" si="1"/>
        <v>0</v>
      </c>
      <c r="X41" s="45"/>
      <c r="Y41" s="44"/>
      <c r="Z41" s="44"/>
      <c r="AA41" s="43"/>
      <c r="AB41" s="42">
        <f>IFERROR(((P41*VLOOKUP(C41,'Custo Hora'!$B$3:$D$75,3,)/60)*F41),"0")</f>
        <v>0</v>
      </c>
      <c r="AC41" s="42">
        <f>IFERROR(((Q41*VLOOKUP(C41,'Custo Hora'!$B$3:$D$75,3,))/(I41/J41)),"0")</f>
        <v>0</v>
      </c>
      <c r="AD41" s="41">
        <f t="shared" si="2"/>
        <v>0</v>
      </c>
      <c r="AE41" s="40"/>
      <c r="AF41" s="39"/>
      <c r="AG41" s="38"/>
      <c r="AH41" s="37"/>
      <c r="AI41" s="36"/>
      <c r="AJ41" s="36"/>
      <c r="AK41" s="17">
        <f t="shared" si="3"/>
        <v>0</v>
      </c>
      <c r="AL41" s="188">
        <v>32</v>
      </c>
    </row>
    <row r="42" spans="1:38" s="23" customFormat="1" ht="10.199999999999999" customHeight="1" outlineLevel="1" x14ac:dyDescent="0.2">
      <c r="A42" s="53"/>
      <c r="B42" s="146" t="s">
        <v>185</v>
      </c>
      <c r="C42" s="189">
        <v>75593004001</v>
      </c>
      <c r="D42" s="147" t="str">
        <f>IFERROR(VLOOKUP(C42,'Material Comprado'!$B$3:$E$419,2,),"")</f>
        <v>CARCACA LATERAL FUNDIDA  DELIV</v>
      </c>
      <c r="E42" s="52" t="s">
        <v>179</v>
      </c>
      <c r="F42" s="157">
        <v>1</v>
      </c>
      <c r="G42" s="51"/>
      <c r="H42" s="148">
        <f t="shared" si="0"/>
        <v>12000</v>
      </c>
      <c r="I42" s="148">
        <f>'Dados de Entrada'!$K$9</f>
        <v>500</v>
      </c>
      <c r="J42" s="50">
        <f>'Dados de Entrada'!$M$9</f>
        <v>1</v>
      </c>
      <c r="K42" s="49"/>
      <c r="L42" s="37"/>
      <c r="M42" s="47"/>
      <c r="N42" s="150" t="str">
        <f>IFERROR(VLOOKUP(C42,'Custo Hora'!$B$3:$D$75,2,),"")</f>
        <v/>
      </c>
      <c r="O42" s="192"/>
      <c r="P42" s="145"/>
      <c r="Q42" s="145"/>
      <c r="R42" s="48"/>
      <c r="S42" s="47"/>
      <c r="T42" s="37"/>
      <c r="U42" s="37"/>
      <c r="V42" s="46">
        <f>IFERROR((VLOOKUP(C42,'Material Comprado'!$B$2:$E$439,4,FALSE)),"0")</f>
        <v>72.16</v>
      </c>
      <c r="W42" s="37">
        <f t="shared" si="1"/>
        <v>72.16</v>
      </c>
      <c r="X42" s="45"/>
      <c r="Y42" s="44"/>
      <c r="Z42" s="44"/>
      <c r="AA42" s="43"/>
      <c r="AB42" s="42" t="str">
        <f>IFERROR(((P42*VLOOKUP(C42,'Custo Hora'!$B$3:$D$75,3,)/60)*F42),"0")</f>
        <v>0</v>
      </c>
      <c r="AC42" s="42" t="str">
        <f>IFERROR(((Q42*VLOOKUP(C42,'Custo Hora'!$B$3:$D$75,3,))/(I42/J42)),"0")</f>
        <v>0</v>
      </c>
      <c r="AD42" s="41">
        <f t="shared" si="2"/>
        <v>72.16</v>
      </c>
      <c r="AE42" s="40"/>
      <c r="AF42" s="39"/>
      <c r="AG42" s="38"/>
      <c r="AH42" s="37"/>
      <c r="AI42" s="36"/>
      <c r="AJ42" s="36"/>
      <c r="AK42" s="17">
        <f t="shared" si="3"/>
        <v>0.12179245981450015</v>
      </c>
      <c r="AL42" s="188">
        <v>33</v>
      </c>
    </row>
    <row r="43" spans="1:38" s="23" customFormat="1" ht="11.25" customHeight="1" outlineLevel="1" x14ac:dyDescent="0.2">
      <c r="A43" s="53"/>
      <c r="B43" s="146" t="s">
        <v>184</v>
      </c>
      <c r="C43" s="175">
        <v>75206199001</v>
      </c>
      <c r="D43" s="147" t="str">
        <f>IFERROR(VLOOKUP(C43,'Material Comprado'!$B$3:$E$419,2,),"")</f>
        <v>FLANGE USINADA SAE B 13 Z  DEL</v>
      </c>
      <c r="E43" s="52" t="s">
        <v>181</v>
      </c>
      <c r="F43" s="157">
        <v>1</v>
      </c>
      <c r="G43" s="51"/>
      <c r="H43" s="148">
        <f t="shared" ref="H43:H74" si="4">I43*12*2</f>
        <v>12000</v>
      </c>
      <c r="I43" s="148">
        <f>'Dados de Entrada'!$K$9</f>
        <v>500</v>
      </c>
      <c r="J43" s="50">
        <f>'Dados de Entrada'!$M$9</f>
        <v>1</v>
      </c>
      <c r="K43" s="49"/>
      <c r="L43" s="37"/>
      <c r="M43" s="47"/>
      <c r="N43" s="150" t="str">
        <f>IFERROR(VLOOKUP(C43,'Custo Hora'!$B$3:$D$75,2,),"")</f>
        <v/>
      </c>
      <c r="O43" s="192"/>
      <c r="P43" s="145"/>
      <c r="Q43" s="145"/>
      <c r="R43" s="48"/>
      <c r="S43" s="47"/>
      <c r="T43" s="37"/>
      <c r="U43" s="37"/>
      <c r="V43" s="46">
        <f>IFERROR((VLOOKUP(C43,'Material Comprado'!$B$2:$E$439,4,FALSE)),"0")</f>
        <v>0</v>
      </c>
      <c r="W43" s="37">
        <f t="shared" ref="W43:W74" si="5">((((T43*$C$3)*(1+$C$5))+((U43*$C$4)*(1+$C$6))+V43)*F43)</f>
        <v>0</v>
      </c>
      <c r="X43" s="45"/>
      <c r="Y43" s="44"/>
      <c r="Z43" s="44"/>
      <c r="AA43" s="43"/>
      <c r="AB43" s="42" t="str">
        <f>IFERROR(((P43*VLOOKUP(C43,'Custo Hora'!$B$3:$D$75,3,)/60)*F43),"0")</f>
        <v>0</v>
      </c>
      <c r="AC43" s="42" t="str">
        <f>IFERROR(((Q43*VLOOKUP(C43,'Custo Hora'!$B$3:$D$75,3,))/(I43/J43)),"0")</f>
        <v>0</v>
      </c>
      <c r="AD43" s="41">
        <f t="shared" ref="AD43:AD74" si="6">W43+AB43+AC43+X43</f>
        <v>0</v>
      </c>
      <c r="AE43" s="40"/>
      <c r="AF43" s="39"/>
      <c r="AG43" s="38"/>
      <c r="AH43" s="37"/>
      <c r="AI43" s="36"/>
      <c r="AJ43" s="36"/>
      <c r="AK43" s="17">
        <f t="shared" ref="AK43:AK74" si="7">AD43/$AD$147</f>
        <v>0</v>
      </c>
      <c r="AL43" s="188">
        <v>34</v>
      </c>
    </row>
    <row r="44" spans="1:38" s="23" customFormat="1" ht="11.25" customHeight="1" outlineLevel="1" x14ac:dyDescent="0.2">
      <c r="A44" s="53"/>
      <c r="B44" s="146" t="s">
        <v>185</v>
      </c>
      <c r="C44" s="175" t="s">
        <v>58</v>
      </c>
      <c r="D44" s="147" t="str">
        <f>IFERROR(VLOOKUP(C44,'Material Comprado'!$B$3:$E$419,2,),"")</f>
        <v/>
      </c>
      <c r="E44" s="52" t="s">
        <v>187</v>
      </c>
      <c r="F44" s="157">
        <v>1</v>
      </c>
      <c r="G44" s="51"/>
      <c r="H44" s="148">
        <f t="shared" si="4"/>
        <v>12000</v>
      </c>
      <c r="I44" s="148">
        <f>'Dados de Entrada'!$K$9</f>
        <v>500</v>
      </c>
      <c r="J44" s="50">
        <f>'Dados de Entrada'!$M$9</f>
        <v>1</v>
      </c>
      <c r="K44" s="49"/>
      <c r="L44" s="37"/>
      <c r="M44" s="47"/>
      <c r="N44" s="55" t="str">
        <f>IFERROR(VLOOKUP(C44,'Custo Hora'!$B$3:$D$75,2,),"")</f>
        <v>APC001 - ARMAZENAMENTO PRODUTO</v>
      </c>
      <c r="O44" s="192"/>
      <c r="P44" s="149"/>
      <c r="Q44" s="149"/>
      <c r="R44" s="48"/>
      <c r="S44" s="47"/>
      <c r="T44" s="37"/>
      <c r="U44" s="37"/>
      <c r="V44" s="172" t="str">
        <f>IFERROR((VLOOKUP(C44,'Material Comprado'!$B$2:$E$439,4,FALSE)),"0")</f>
        <v>0</v>
      </c>
      <c r="W44" s="174">
        <f t="shared" si="5"/>
        <v>0</v>
      </c>
      <c r="X44" s="45"/>
      <c r="Y44" s="44"/>
      <c r="Z44" s="44"/>
      <c r="AA44" s="43"/>
      <c r="AB44" s="42">
        <f>IFERROR(((P44*VLOOKUP(C44,'Custo Hora'!$B$3:$D$75,3,)/60)*F44),"0")</f>
        <v>0</v>
      </c>
      <c r="AC44" s="42">
        <f>IFERROR(((Q44*VLOOKUP(C44,'Custo Hora'!$B$3:$D$75,3,))/(I44/J44)),"0")</f>
        <v>0</v>
      </c>
      <c r="AD44" s="41">
        <f t="shared" si="6"/>
        <v>0</v>
      </c>
      <c r="AE44" s="40"/>
      <c r="AF44" s="39"/>
      <c r="AG44" s="38"/>
      <c r="AH44" s="37"/>
      <c r="AI44" s="36"/>
      <c r="AJ44" s="36"/>
      <c r="AK44" s="17">
        <f t="shared" si="7"/>
        <v>0</v>
      </c>
      <c r="AL44" s="188">
        <v>35</v>
      </c>
    </row>
    <row r="45" spans="1:38" s="23" customFormat="1" ht="11.25" customHeight="1" outlineLevel="1" x14ac:dyDescent="0.2">
      <c r="A45" s="53"/>
      <c r="B45" s="146" t="s">
        <v>185</v>
      </c>
      <c r="C45" s="175" t="s">
        <v>169</v>
      </c>
      <c r="D45" s="147" t="str">
        <f>IFERROR(VLOOKUP(C45,'Material Comprado'!$B$3:$E$419,2,),"")</f>
        <v/>
      </c>
      <c r="E45" s="52" t="s">
        <v>187</v>
      </c>
      <c r="F45" s="157">
        <v>1</v>
      </c>
      <c r="G45" s="51"/>
      <c r="H45" s="148">
        <f t="shared" si="4"/>
        <v>12000</v>
      </c>
      <c r="I45" s="148">
        <f>'Dados de Entrada'!$K$9</f>
        <v>500</v>
      </c>
      <c r="J45" s="50">
        <f>'Dados de Entrada'!$M$9</f>
        <v>1</v>
      </c>
      <c r="K45" s="49"/>
      <c r="L45" s="37"/>
      <c r="M45" s="47"/>
      <c r="N45" s="55" t="str">
        <f>IFERROR(VLOOKUP(C45,'Custo Hora'!$B$3:$D$75,2,),"")</f>
        <v xml:space="preserve">TOH003 - T.CNC.H.10.23 TORNO HYUNDAY 3 SKT15               </v>
      </c>
      <c r="O45" s="192"/>
      <c r="P45" s="149">
        <v>2</v>
      </c>
      <c r="Q45" s="149">
        <v>1</v>
      </c>
      <c r="R45" s="48"/>
      <c r="S45" s="47"/>
      <c r="T45" s="37"/>
      <c r="U45" s="37"/>
      <c r="V45" s="172" t="str">
        <f>IFERROR((VLOOKUP(C45,'Material Comprado'!$B$2:$E$439,4,FALSE)),"0")</f>
        <v>0</v>
      </c>
      <c r="W45" s="174">
        <f t="shared" si="5"/>
        <v>0</v>
      </c>
      <c r="X45" s="45"/>
      <c r="Y45" s="44"/>
      <c r="Z45" s="44"/>
      <c r="AA45" s="43"/>
      <c r="AB45" s="42">
        <f>IFERROR(((P45*VLOOKUP(C45,'Custo Hora'!$B$3:$D$75,3,)/60)*F45),"0")</f>
        <v>3.3333333333333335</v>
      </c>
      <c r="AC45" s="42">
        <f>IFERROR(((Q45*VLOOKUP(C45,'Custo Hora'!$B$3:$D$75,3,))/(I45/J45)),"0")</f>
        <v>0.2</v>
      </c>
      <c r="AD45" s="41">
        <f t="shared" si="6"/>
        <v>3.5333333333333337</v>
      </c>
      <c r="AE45" s="40"/>
      <c r="AF45" s="39"/>
      <c r="AG45" s="38"/>
      <c r="AH45" s="37"/>
      <c r="AI45" s="36"/>
      <c r="AJ45" s="36"/>
      <c r="AK45" s="17">
        <f t="shared" si="7"/>
        <v>5.9635997507100046E-3</v>
      </c>
      <c r="AL45" s="188">
        <v>36</v>
      </c>
    </row>
    <row r="46" spans="1:38" s="23" customFormat="1" ht="11.25" customHeight="1" outlineLevel="1" x14ac:dyDescent="0.2">
      <c r="A46" s="53"/>
      <c r="B46" s="146" t="s">
        <v>185</v>
      </c>
      <c r="C46" s="175" t="s">
        <v>169</v>
      </c>
      <c r="D46" s="147" t="str">
        <f>IFERROR(VLOOKUP(C46,'Material Comprado'!$B$3:$E$419,2,),"")</f>
        <v/>
      </c>
      <c r="E46" s="52" t="s">
        <v>187</v>
      </c>
      <c r="F46" s="157">
        <v>1</v>
      </c>
      <c r="G46" s="51"/>
      <c r="H46" s="148">
        <f t="shared" si="4"/>
        <v>12000</v>
      </c>
      <c r="I46" s="148">
        <f>'Dados de Entrada'!$K$9</f>
        <v>500</v>
      </c>
      <c r="J46" s="50">
        <f>'Dados de Entrada'!$M$9</f>
        <v>1</v>
      </c>
      <c r="K46" s="49"/>
      <c r="L46" s="37"/>
      <c r="M46" s="47"/>
      <c r="N46" s="55" t="str">
        <f>IFERROR(VLOOKUP(C46,'Custo Hora'!$B$3:$D$75,2,),"")</f>
        <v xml:space="preserve">TOH003 - T.CNC.H.10.23 TORNO HYUNDAY 3 SKT15               </v>
      </c>
      <c r="O46" s="192"/>
      <c r="P46" s="149">
        <v>2</v>
      </c>
      <c r="Q46" s="149">
        <v>1</v>
      </c>
      <c r="R46" s="48"/>
      <c r="S46" s="47"/>
      <c r="T46" s="37"/>
      <c r="U46" s="37"/>
      <c r="V46" s="172" t="str">
        <f>IFERROR((VLOOKUP(C46,'Material Comprado'!$B$2:$E$439,4,FALSE)),"0")</f>
        <v>0</v>
      </c>
      <c r="W46" s="174">
        <f t="shared" si="5"/>
        <v>0</v>
      </c>
      <c r="X46" s="45"/>
      <c r="Y46" s="44"/>
      <c r="Z46" s="44"/>
      <c r="AA46" s="43"/>
      <c r="AB46" s="42">
        <f>IFERROR(((P46*VLOOKUP(C46,'Custo Hora'!$B$3:$D$75,3,)/60)*F46),"0")</f>
        <v>3.3333333333333335</v>
      </c>
      <c r="AC46" s="42">
        <f>IFERROR(((Q46*VLOOKUP(C46,'Custo Hora'!$B$3:$D$75,3,))/(I46/J46)),"0")</f>
        <v>0.2</v>
      </c>
      <c r="AD46" s="41">
        <f t="shared" si="6"/>
        <v>3.5333333333333337</v>
      </c>
      <c r="AE46" s="40"/>
      <c r="AF46" s="39"/>
      <c r="AG46" s="38"/>
      <c r="AH46" s="37"/>
      <c r="AI46" s="36"/>
      <c r="AJ46" s="36"/>
      <c r="AK46" s="17">
        <f t="shared" si="7"/>
        <v>5.9635997507100046E-3</v>
      </c>
      <c r="AL46" s="188">
        <v>37</v>
      </c>
    </row>
    <row r="47" spans="1:38" s="23" customFormat="1" ht="11.25" customHeight="1" outlineLevel="1" x14ac:dyDescent="0.2">
      <c r="A47" s="53"/>
      <c r="B47" s="146" t="s">
        <v>185</v>
      </c>
      <c r="C47" s="175" t="s">
        <v>48</v>
      </c>
      <c r="D47" s="147" t="str">
        <f>IFERROR(VLOOKUP(C47,'Material Comprado'!$B$3:$E$419,2,),"")</f>
        <v/>
      </c>
      <c r="E47" s="52" t="s">
        <v>187</v>
      </c>
      <c r="F47" s="157">
        <v>1</v>
      </c>
      <c r="G47" s="51"/>
      <c r="H47" s="148">
        <f t="shared" si="4"/>
        <v>12000</v>
      </c>
      <c r="I47" s="148">
        <f>'Dados de Entrada'!$K$9</f>
        <v>500</v>
      </c>
      <c r="J47" s="50">
        <f>'Dados de Entrada'!$M$9</f>
        <v>1</v>
      </c>
      <c r="K47" s="49"/>
      <c r="L47" s="37"/>
      <c r="M47" s="47"/>
      <c r="N47" s="55" t="str">
        <f>IFERROR(VLOOKUP(C47,'Custo Hora'!$B$3:$D$75,2,),"")</f>
        <v>FRM001 - F.CNC.V.20.18 CENTRO</v>
      </c>
      <c r="O47" s="192"/>
      <c r="P47" s="149">
        <v>3</v>
      </c>
      <c r="Q47" s="149">
        <v>1</v>
      </c>
      <c r="R47" s="48"/>
      <c r="S47" s="47"/>
      <c r="T47" s="37"/>
      <c r="U47" s="37"/>
      <c r="V47" s="172" t="str">
        <f>IFERROR((VLOOKUP(C47,'Material Comprado'!$B$2:$E$439,4,FALSE)),"0")</f>
        <v>0</v>
      </c>
      <c r="W47" s="174">
        <f t="shared" si="5"/>
        <v>0</v>
      </c>
      <c r="X47" s="45"/>
      <c r="Y47" s="44"/>
      <c r="Z47" s="44"/>
      <c r="AA47" s="43"/>
      <c r="AB47" s="42">
        <f>IFERROR(((P47*VLOOKUP(C47,'Custo Hora'!$B$3:$D$75,3,)/60)*F47),"0")</f>
        <v>6</v>
      </c>
      <c r="AC47" s="42">
        <f>IFERROR(((Q47*VLOOKUP(C47,'Custo Hora'!$B$3:$D$75,3,))/(I47/J47)),"0")</f>
        <v>0.24</v>
      </c>
      <c r="AD47" s="41">
        <f t="shared" si="6"/>
        <v>6.24</v>
      </c>
      <c r="AE47" s="40"/>
      <c r="AF47" s="39"/>
      <c r="AG47" s="38"/>
      <c r="AH47" s="37"/>
      <c r="AI47" s="36"/>
      <c r="AJ47" s="36"/>
      <c r="AK47" s="17">
        <f t="shared" si="7"/>
        <v>1.0531942201253894E-2</v>
      </c>
      <c r="AL47" s="188">
        <v>38</v>
      </c>
    </row>
    <row r="48" spans="1:38" s="23" customFormat="1" ht="11.25" customHeight="1" outlineLevel="1" x14ac:dyDescent="0.2">
      <c r="A48" s="53"/>
      <c r="B48" s="146" t="s">
        <v>185</v>
      </c>
      <c r="C48" s="175" t="s">
        <v>58</v>
      </c>
      <c r="D48" s="147" t="str">
        <f>IFERROR(VLOOKUP(C48,'Material Comprado'!$B$3:$E$419,2,),"")</f>
        <v/>
      </c>
      <c r="E48" s="52" t="s">
        <v>187</v>
      </c>
      <c r="F48" s="157">
        <v>1</v>
      </c>
      <c r="G48" s="51"/>
      <c r="H48" s="148">
        <f t="shared" si="4"/>
        <v>12000</v>
      </c>
      <c r="I48" s="148">
        <f>'Dados de Entrada'!$K$9</f>
        <v>500</v>
      </c>
      <c r="J48" s="50">
        <f>'Dados de Entrada'!$M$9</f>
        <v>1</v>
      </c>
      <c r="K48" s="49"/>
      <c r="L48" s="37"/>
      <c r="M48" s="47"/>
      <c r="N48" s="55" t="str">
        <f>IFERROR(VLOOKUP(C48,'Custo Hora'!$B$3:$D$75,2,),"")</f>
        <v>APC001 - ARMAZENAMENTO PRODUTO</v>
      </c>
      <c r="O48" s="192"/>
      <c r="P48" s="149"/>
      <c r="Q48" s="149"/>
      <c r="R48" s="48"/>
      <c r="S48" s="47"/>
      <c r="T48" s="37"/>
      <c r="U48" s="37"/>
      <c r="V48" s="172" t="str">
        <f>IFERROR((VLOOKUP(C48,'Material Comprado'!$B$2:$E$439,4,FALSE)),"0")</f>
        <v>0</v>
      </c>
      <c r="W48" s="174">
        <f t="shared" si="5"/>
        <v>0</v>
      </c>
      <c r="X48" s="45"/>
      <c r="Y48" s="44"/>
      <c r="Z48" s="44"/>
      <c r="AA48" s="43"/>
      <c r="AB48" s="42">
        <f>IFERROR(((P48*VLOOKUP(C48,'Custo Hora'!$B$3:$D$75,3,)/60)*F48),"0")</f>
        <v>0</v>
      </c>
      <c r="AC48" s="42">
        <f>IFERROR(((Q48*VLOOKUP(C48,'Custo Hora'!$B$3:$D$75,3,))/(I48/J48)),"0")</f>
        <v>0</v>
      </c>
      <c r="AD48" s="41">
        <f t="shared" si="6"/>
        <v>0</v>
      </c>
      <c r="AE48" s="40"/>
      <c r="AF48" s="39"/>
      <c r="AG48" s="38"/>
      <c r="AH48" s="37"/>
      <c r="AI48" s="36"/>
      <c r="AJ48" s="36"/>
      <c r="AK48" s="17">
        <f t="shared" si="7"/>
        <v>0</v>
      </c>
      <c r="AL48" s="188">
        <v>39</v>
      </c>
    </row>
    <row r="49" spans="1:38" s="23" customFormat="1" ht="11.25" customHeight="1" outlineLevel="1" x14ac:dyDescent="0.2">
      <c r="A49" s="53"/>
      <c r="B49" s="146" t="s">
        <v>185</v>
      </c>
      <c r="C49" s="189">
        <v>75593009006</v>
      </c>
      <c r="D49" s="147" t="str">
        <f>IFERROR(VLOOKUP(C49,'Material Comprado'!$B$3:$E$419,2,),"")</f>
        <v>FLANGE FUNDIDA SAE B 13 Z  TF</v>
      </c>
      <c r="E49" s="52" t="s">
        <v>179</v>
      </c>
      <c r="F49" s="157">
        <v>1</v>
      </c>
      <c r="G49" s="51"/>
      <c r="H49" s="148">
        <f t="shared" si="4"/>
        <v>12000</v>
      </c>
      <c r="I49" s="148">
        <f>'Dados de Entrada'!$K$9</f>
        <v>500</v>
      </c>
      <c r="J49" s="50">
        <f>'Dados de Entrada'!$M$9</f>
        <v>1</v>
      </c>
      <c r="K49" s="49"/>
      <c r="L49" s="37"/>
      <c r="M49" s="47"/>
      <c r="N49" s="150" t="str">
        <f>IFERROR(VLOOKUP(C49,'Custo Hora'!$B$3:$D$75,2,),"")</f>
        <v/>
      </c>
      <c r="O49" s="192"/>
      <c r="P49" s="145"/>
      <c r="Q49" s="145"/>
      <c r="R49" s="48"/>
      <c r="S49" s="47"/>
      <c r="T49" s="37"/>
      <c r="U49" s="37"/>
      <c r="V49" s="46">
        <f>IFERROR((VLOOKUP(C49,'Material Comprado'!$B$2:$E$439,4,FALSE)),"0")</f>
        <v>24.366</v>
      </c>
      <c r="W49" s="37">
        <f t="shared" si="5"/>
        <v>24.366</v>
      </c>
      <c r="X49" s="45"/>
      <c r="Y49" s="44"/>
      <c r="Z49" s="44"/>
      <c r="AA49" s="43"/>
      <c r="AB49" s="42" t="str">
        <f>IFERROR(((P49*VLOOKUP(C49,'Custo Hora'!$B$3:$D$75,3,)/60)*F49),"0")</f>
        <v>0</v>
      </c>
      <c r="AC49" s="42" t="str">
        <f>IFERROR(((Q49*VLOOKUP(C49,'Custo Hora'!$B$3:$D$75,3,))/(I49/J49)),"0")</f>
        <v>0</v>
      </c>
      <c r="AD49" s="41">
        <f t="shared" si="6"/>
        <v>24.366</v>
      </c>
      <c r="AE49" s="40"/>
      <c r="AF49" s="39"/>
      <c r="AG49" s="38"/>
      <c r="AH49" s="37"/>
      <c r="AI49" s="36"/>
      <c r="AJ49" s="36"/>
      <c r="AK49" s="17">
        <f t="shared" si="7"/>
        <v>4.1125208922396211E-2</v>
      </c>
      <c r="AL49" s="188">
        <v>40</v>
      </c>
    </row>
    <row r="50" spans="1:38" s="23" customFormat="1" ht="11.25" customHeight="1" outlineLevel="1" x14ac:dyDescent="0.2">
      <c r="A50" s="53"/>
      <c r="B50" s="146" t="s">
        <v>184</v>
      </c>
      <c r="C50" s="175" t="s">
        <v>221</v>
      </c>
      <c r="D50" s="147" t="str">
        <f>IFERROR(VLOOKUP(C50,'Material Comprado'!$B$3:$E$419,2,),"")</f>
        <v>TAMPA TF75 DELIVERY</v>
      </c>
      <c r="E50" s="52" t="s">
        <v>181</v>
      </c>
      <c r="F50" s="157">
        <v>1</v>
      </c>
      <c r="G50" s="51"/>
      <c r="H50" s="148">
        <f t="shared" si="4"/>
        <v>12000</v>
      </c>
      <c r="I50" s="148">
        <f>'Dados de Entrada'!$K$9</f>
        <v>500</v>
      </c>
      <c r="J50" s="50">
        <f>'Dados de Entrada'!$M$9</f>
        <v>1</v>
      </c>
      <c r="K50" s="49"/>
      <c r="L50" s="37"/>
      <c r="M50" s="47"/>
      <c r="N50" s="150" t="str">
        <f>IFERROR(VLOOKUP(C50,'Custo Hora'!$B$3:$D$75,2,),"")</f>
        <v/>
      </c>
      <c r="O50" s="192"/>
      <c r="P50" s="145"/>
      <c r="Q50" s="145"/>
      <c r="R50" s="48"/>
      <c r="S50" s="47"/>
      <c r="T50" s="37"/>
      <c r="U50" s="37"/>
      <c r="V50" s="46">
        <f>IFERROR((VLOOKUP(C50,'Material Comprado'!$B$2:$E$439,4,FALSE)),"0")</f>
        <v>0</v>
      </c>
      <c r="W50" s="37">
        <f t="shared" si="5"/>
        <v>0</v>
      </c>
      <c r="X50" s="45"/>
      <c r="Y50" s="44"/>
      <c r="Z50" s="44"/>
      <c r="AA50" s="43"/>
      <c r="AB50" s="42" t="str">
        <f>IFERROR(((P50*VLOOKUP(C50,'Custo Hora'!$B$3:$D$75,3,)/60)*F50),"0")</f>
        <v>0</v>
      </c>
      <c r="AC50" s="42" t="str">
        <f>IFERROR(((Q50*VLOOKUP(C50,'Custo Hora'!$B$3:$D$75,3,))/(I50/J50)),"0")</f>
        <v>0</v>
      </c>
      <c r="AD50" s="41">
        <f t="shared" si="6"/>
        <v>0</v>
      </c>
      <c r="AE50" s="40"/>
      <c r="AF50" s="39"/>
      <c r="AG50" s="38"/>
      <c r="AH50" s="37"/>
      <c r="AI50" s="36"/>
      <c r="AJ50" s="36"/>
      <c r="AK50" s="17">
        <f t="shared" si="7"/>
        <v>0</v>
      </c>
      <c r="AL50" s="188">
        <v>41</v>
      </c>
    </row>
    <row r="51" spans="1:38" s="23" customFormat="1" ht="11.25" customHeight="1" outlineLevel="1" x14ac:dyDescent="0.2">
      <c r="A51" s="53"/>
      <c r="B51" s="146" t="s">
        <v>185</v>
      </c>
      <c r="C51" s="175" t="s">
        <v>40</v>
      </c>
      <c r="D51" s="147" t="str">
        <f>IFERROR(VLOOKUP(C51,'Material Comprado'!$B$3:$E$419,2,),"")</f>
        <v/>
      </c>
      <c r="E51" s="52" t="s">
        <v>187</v>
      </c>
      <c r="F51" s="157">
        <v>1</v>
      </c>
      <c r="G51" s="51"/>
      <c r="H51" s="148">
        <f t="shared" si="4"/>
        <v>12000</v>
      </c>
      <c r="I51" s="148">
        <f>'Dados de Entrada'!$K$9</f>
        <v>500</v>
      </c>
      <c r="J51" s="50">
        <f>'Dados de Entrada'!$M$9</f>
        <v>1</v>
      </c>
      <c r="K51" s="49"/>
      <c r="L51" s="37"/>
      <c r="M51" s="47"/>
      <c r="N51" s="55" t="str">
        <f>IFERROR(VLOOKUP(C51,'Custo Hora'!$B$3:$D$75,2,),"")</f>
        <v>MET001/MET002 - METROLOGIA 1 E</v>
      </c>
      <c r="O51" s="192"/>
      <c r="P51" s="149"/>
      <c r="Q51" s="149"/>
      <c r="R51" s="48"/>
      <c r="S51" s="47"/>
      <c r="T51" s="37"/>
      <c r="U51" s="37"/>
      <c r="V51" s="172" t="str">
        <f>IFERROR((VLOOKUP(C51,'Material Comprado'!$B$2:$E$439,4,FALSE)),"0")</f>
        <v>0</v>
      </c>
      <c r="W51" s="174">
        <f t="shared" si="5"/>
        <v>0</v>
      </c>
      <c r="X51" s="45"/>
      <c r="Y51" s="44"/>
      <c r="Z51" s="44"/>
      <c r="AA51" s="43"/>
      <c r="AB51" s="42">
        <f>IFERROR(((P51*VLOOKUP(C51,'Custo Hora'!$B$3:$D$75,3,)/60)*F51),"0")</f>
        <v>0</v>
      </c>
      <c r="AC51" s="42">
        <f>IFERROR(((Q51*VLOOKUP(C51,'Custo Hora'!$B$3:$D$75,3,))/(I51/J51)),"0")</f>
        <v>0</v>
      </c>
      <c r="AD51" s="41">
        <f t="shared" si="6"/>
        <v>0</v>
      </c>
      <c r="AE51" s="40"/>
      <c r="AF51" s="39"/>
      <c r="AG51" s="38"/>
      <c r="AH51" s="37"/>
      <c r="AI51" s="36"/>
      <c r="AJ51" s="36"/>
      <c r="AK51" s="17">
        <f t="shared" si="7"/>
        <v>0</v>
      </c>
      <c r="AL51" s="188">
        <v>42</v>
      </c>
    </row>
    <row r="52" spans="1:38" s="23" customFormat="1" ht="11.25" customHeight="1" outlineLevel="1" x14ac:dyDescent="0.2">
      <c r="A52" s="53"/>
      <c r="B52" s="146" t="s">
        <v>185</v>
      </c>
      <c r="C52" s="175" t="s">
        <v>58</v>
      </c>
      <c r="D52" s="147" t="str">
        <f>IFERROR(VLOOKUP(C52,'Material Comprado'!$B$3:$E$419,2,),"")</f>
        <v/>
      </c>
      <c r="E52" s="52" t="s">
        <v>187</v>
      </c>
      <c r="F52" s="157">
        <v>1</v>
      </c>
      <c r="G52" s="51"/>
      <c r="H52" s="148">
        <f t="shared" si="4"/>
        <v>12000</v>
      </c>
      <c r="I52" s="148">
        <f>'Dados de Entrada'!$K$9</f>
        <v>500</v>
      </c>
      <c r="J52" s="50">
        <f>'Dados de Entrada'!$M$9</f>
        <v>1</v>
      </c>
      <c r="K52" s="49"/>
      <c r="L52" s="37"/>
      <c r="M52" s="47"/>
      <c r="N52" s="55" t="str">
        <f>IFERROR(VLOOKUP(C52,'Custo Hora'!$B$3:$D$75,2,),"")</f>
        <v>APC001 - ARMAZENAMENTO PRODUTO</v>
      </c>
      <c r="O52" s="192"/>
      <c r="P52" s="149"/>
      <c r="Q52" s="149"/>
      <c r="R52" s="48"/>
      <c r="S52" s="47"/>
      <c r="T52" s="37"/>
      <c r="U52" s="37"/>
      <c r="V52" s="172" t="str">
        <f>IFERROR((VLOOKUP(C52,'Material Comprado'!$B$2:$E$439,4,FALSE)),"0")</f>
        <v>0</v>
      </c>
      <c r="W52" s="174">
        <f t="shared" si="5"/>
        <v>0</v>
      </c>
      <c r="X52" s="45"/>
      <c r="Y52" s="44"/>
      <c r="Z52" s="44"/>
      <c r="AA52" s="43"/>
      <c r="AB52" s="42">
        <f>IFERROR(((P52*VLOOKUP(C52,'Custo Hora'!$B$3:$D$75,3,)/60)*F52),"0")</f>
        <v>0</v>
      </c>
      <c r="AC52" s="42">
        <f>IFERROR(((Q52*VLOOKUP(C52,'Custo Hora'!$B$3:$D$75,3,))/(I52/J52)),"0")</f>
        <v>0</v>
      </c>
      <c r="AD52" s="41">
        <f t="shared" si="6"/>
        <v>0</v>
      </c>
      <c r="AE52" s="40"/>
      <c r="AF52" s="39"/>
      <c r="AG52" s="38"/>
      <c r="AH52" s="37"/>
      <c r="AI52" s="36"/>
      <c r="AJ52" s="36"/>
      <c r="AK52" s="17">
        <f t="shared" si="7"/>
        <v>0</v>
      </c>
      <c r="AL52" s="188">
        <v>43</v>
      </c>
    </row>
    <row r="53" spans="1:38" s="23" customFormat="1" ht="11.25" customHeight="1" outlineLevel="1" x14ac:dyDescent="0.2">
      <c r="A53" s="53"/>
      <c r="B53" s="146" t="s">
        <v>185</v>
      </c>
      <c r="C53" s="175" t="s">
        <v>222</v>
      </c>
      <c r="D53" s="147" t="str">
        <f>IFERROR(VLOOKUP(C53,'Material Comprado'!$B$3:$E$419,2,),"")</f>
        <v>USINADO - TAMPA DO PISTAO - TF</v>
      </c>
      <c r="E53" s="52" t="s">
        <v>179</v>
      </c>
      <c r="F53" s="157">
        <v>1</v>
      </c>
      <c r="G53" s="51"/>
      <c r="H53" s="148">
        <f t="shared" si="4"/>
        <v>12000</v>
      </c>
      <c r="I53" s="148">
        <f>'Dados de Entrada'!$K$9</f>
        <v>500</v>
      </c>
      <c r="J53" s="50">
        <f>'Dados de Entrada'!$M$9</f>
        <v>1</v>
      </c>
      <c r="K53" s="49"/>
      <c r="L53" s="37"/>
      <c r="M53" s="47"/>
      <c r="N53" s="150" t="str">
        <f>IFERROR(VLOOKUP(C53,'Custo Hora'!$B$3:$D$75,2,),"")</f>
        <v/>
      </c>
      <c r="O53" s="192"/>
      <c r="P53" s="145"/>
      <c r="Q53" s="145"/>
      <c r="R53" s="48"/>
      <c r="S53" s="47"/>
      <c r="T53" s="37"/>
      <c r="U53" s="37"/>
      <c r="V53" s="46">
        <f>IFERROR((VLOOKUP(C53,'Material Comprado'!$B$2:$E$439,4,FALSE)),"0")</f>
        <v>0</v>
      </c>
      <c r="W53" s="37">
        <f t="shared" si="5"/>
        <v>0</v>
      </c>
      <c r="X53" s="45"/>
      <c r="Y53" s="44"/>
      <c r="Z53" s="44"/>
      <c r="AA53" s="43"/>
      <c r="AB53" s="42" t="str">
        <f>IFERROR(((P53*VLOOKUP(C53,'Custo Hora'!$B$3:$D$75,3,)/60)*F53),"0")</f>
        <v>0</v>
      </c>
      <c r="AC53" s="42" t="str">
        <f>IFERROR(((Q53*VLOOKUP(C53,'Custo Hora'!$B$3:$D$75,3,))/(I53/J53)),"0")</f>
        <v>0</v>
      </c>
      <c r="AD53" s="41">
        <f t="shared" si="6"/>
        <v>0</v>
      </c>
      <c r="AE53" s="40"/>
      <c r="AF53" s="39"/>
      <c r="AG53" s="38"/>
      <c r="AH53" s="37"/>
      <c r="AI53" s="36"/>
      <c r="AJ53" s="36"/>
      <c r="AK53" s="17">
        <f t="shared" si="7"/>
        <v>0</v>
      </c>
      <c r="AL53" s="188">
        <v>44</v>
      </c>
    </row>
    <row r="54" spans="1:38" s="23" customFormat="1" ht="11.25" customHeight="1" outlineLevel="1" x14ac:dyDescent="0.2">
      <c r="A54" s="53"/>
      <c r="B54" s="146" t="s">
        <v>186</v>
      </c>
      <c r="C54" s="175" t="s">
        <v>58</v>
      </c>
      <c r="D54" s="147" t="str">
        <f>IFERROR(VLOOKUP(C54,'Material Comprado'!$B$3:$E$419,2,),"")</f>
        <v/>
      </c>
      <c r="E54" s="52" t="s">
        <v>187</v>
      </c>
      <c r="F54" s="157">
        <v>1</v>
      </c>
      <c r="G54" s="51"/>
      <c r="H54" s="148">
        <f t="shared" si="4"/>
        <v>12000</v>
      </c>
      <c r="I54" s="148">
        <f>'Dados de Entrada'!$K$9</f>
        <v>500</v>
      </c>
      <c r="J54" s="50">
        <f>'Dados de Entrada'!$M$9</f>
        <v>1</v>
      </c>
      <c r="K54" s="49"/>
      <c r="L54" s="37"/>
      <c r="M54" s="47"/>
      <c r="N54" s="55" t="str">
        <f>IFERROR(VLOOKUP(C54,'Custo Hora'!$B$3:$D$75,2,),"")</f>
        <v>APC001 - ARMAZENAMENTO PRODUTO</v>
      </c>
      <c r="O54" s="192"/>
      <c r="P54" s="149"/>
      <c r="Q54" s="149"/>
      <c r="R54" s="48"/>
      <c r="S54" s="47"/>
      <c r="T54" s="37"/>
      <c r="U54" s="37"/>
      <c r="V54" s="172" t="str">
        <f>IFERROR((VLOOKUP(C54,'Material Comprado'!$B$2:$E$439,4,FALSE)),"0")</f>
        <v>0</v>
      </c>
      <c r="W54" s="174">
        <f t="shared" si="5"/>
        <v>0</v>
      </c>
      <c r="X54" s="45"/>
      <c r="Y54" s="44"/>
      <c r="Z54" s="44"/>
      <c r="AA54" s="43"/>
      <c r="AB54" s="42">
        <f>IFERROR(((P54*VLOOKUP(C54,'Custo Hora'!$B$3:$D$75,3,)/60)*F54),"0")</f>
        <v>0</v>
      </c>
      <c r="AC54" s="42">
        <f>IFERROR(((Q54*VLOOKUP(C54,'Custo Hora'!$B$3:$D$75,3,))/(I54/J54)),"0")</f>
        <v>0</v>
      </c>
      <c r="AD54" s="41">
        <f t="shared" si="6"/>
        <v>0</v>
      </c>
      <c r="AE54" s="40"/>
      <c r="AF54" s="39"/>
      <c r="AG54" s="38"/>
      <c r="AH54" s="37"/>
      <c r="AI54" s="36"/>
      <c r="AJ54" s="36"/>
      <c r="AK54" s="17">
        <f t="shared" si="7"/>
        <v>0</v>
      </c>
      <c r="AL54" s="188">
        <v>45</v>
      </c>
    </row>
    <row r="55" spans="1:38" s="23" customFormat="1" ht="11.25" customHeight="1" outlineLevel="1" x14ac:dyDescent="0.2">
      <c r="A55" s="53"/>
      <c r="B55" s="146" t="s">
        <v>186</v>
      </c>
      <c r="C55" s="175" t="s">
        <v>216</v>
      </c>
      <c r="D55" s="147" t="str">
        <f>IFERROR(VLOOKUP(C55,'Material Comprado'!$B$3:$E$419,2,),"")</f>
        <v/>
      </c>
      <c r="E55" s="52" t="s">
        <v>187</v>
      </c>
      <c r="F55" s="157">
        <v>1</v>
      </c>
      <c r="G55" s="51"/>
      <c r="H55" s="148">
        <f t="shared" si="4"/>
        <v>12000</v>
      </c>
      <c r="I55" s="148">
        <f>'Dados de Entrada'!$K$9</f>
        <v>500</v>
      </c>
      <c r="J55" s="50">
        <f>'Dados de Entrada'!$M$9</f>
        <v>1</v>
      </c>
      <c r="K55" s="49"/>
      <c r="L55" s="37"/>
      <c r="M55" s="47"/>
      <c r="N55" s="55" t="str">
        <f>IFERROR(VLOOKUP(C55,'Custo Hora'!$B$3:$D$75,2,),"")</f>
        <v xml:space="preserve">TOD007 - TORNO CNC DOOSAN LYNX 220                </v>
      </c>
      <c r="O55" s="192"/>
      <c r="P55" s="149">
        <v>2</v>
      </c>
      <c r="Q55" s="149">
        <v>0.5</v>
      </c>
      <c r="R55" s="48"/>
      <c r="S55" s="47"/>
      <c r="T55" s="37"/>
      <c r="U55" s="37"/>
      <c r="V55" s="172" t="str">
        <f>IFERROR((VLOOKUP(C55,'Material Comprado'!$B$2:$E$439,4,FALSE)),"0")</f>
        <v>0</v>
      </c>
      <c r="W55" s="174">
        <f t="shared" si="5"/>
        <v>0</v>
      </c>
      <c r="X55" s="45"/>
      <c r="Y55" s="44"/>
      <c r="Z55" s="44"/>
      <c r="AA55" s="43"/>
      <c r="AB55" s="42">
        <f>IFERROR(((P55*VLOOKUP(C55,'Custo Hora'!$B$3:$D$75,3,)/60)*F55),"0")</f>
        <v>3.3333333333333335</v>
      </c>
      <c r="AC55" s="42">
        <f>IFERROR(((Q55*VLOOKUP(C55,'Custo Hora'!$B$3:$D$75,3,))/(I55/J55)),"0")</f>
        <v>0.1</v>
      </c>
      <c r="AD55" s="41">
        <f t="shared" si="6"/>
        <v>3.4333333333333336</v>
      </c>
      <c r="AE55" s="40"/>
      <c r="AF55" s="39"/>
      <c r="AG55" s="38"/>
      <c r="AH55" s="37"/>
      <c r="AI55" s="36"/>
      <c r="AJ55" s="36"/>
      <c r="AK55" s="17">
        <f t="shared" si="7"/>
        <v>5.7948186256899098E-3</v>
      </c>
      <c r="AL55" s="188">
        <v>46</v>
      </c>
    </row>
    <row r="56" spans="1:38" s="23" customFormat="1" ht="11.25" customHeight="1" outlineLevel="1" x14ac:dyDescent="0.2">
      <c r="A56" s="53"/>
      <c r="B56" s="146" t="s">
        <v>186</v>
      </c>
      <c r="C56" s="175" t="s">
        <v>40</v>
      </c>
      <c r="D56" s="147" t="str">
        <f>IFERROR(VLOOKUP(C56,'Material Comprado'!$B$3:$E$419,2,),"")</f>
        <v/>
      </c>
      <c r="E56" s="52" t="s">
        <v>187</v>
      </c>
      <c r="F56" s="157">
        <v>1</v>
      </c>
      <c r="G56" s="51"/>
      <c r="H56" s="148">
        <f t="shared" si="4"/>
        <v>12000</v>
      </c>
      <c r="I56" s="148">
        <f>'Dados de Entrada'!$K$9</f>
        <v>500</v>
      </c>
      <c r="J56" s="50">
        <f>'Dados de Entrada'!$M$9</f>
        <v>1</v>
      </c>
      <c r="K56" s="49"/>
      <c r="L56" s="37"/>
      <c r="M56" s="47"/>
      <c r="N56" s="55" t="str">
        <f>IFERROR(VLOOKUP(C56,'Custo Hora'!$B$3:$D$75,2,),"")</f>
        <v>MET001/MET002 - METROLOGIA 1 E</v>
      </c>
      <c r="O56" s="47"/>
      <c r="P56" s="149"/>
      <c r="Q56" s="149"/>
      <c r="R56" s="48"/>
      <c r="S56" s="47"/>
      <c r="T56" s="37"/>
      <c r="U56" s="37"/>
      <c r="V56" s="172" t="str">
        <f>IFERROR((VLOOKUP(C56,'Material Comprado'!$B$2:$E$439,4,FALSE)),"0")</f>
        <v>0</v>
      </c>
      <c r="W56" s="174">
        <f t="shared" si="5"/>
        <v>0</v>
      </c>
      <c r="X56" s="45"/>
      <c r="Y56" s="44"/>
      <c r="Z56" s="44"/>
      <c r="AA56" s="43"/>
      <c r="AB56" s="42">
        <f>IFERROR(((P56*VLOOKUP(C56,'Custo Hora'!$B$3:$D$75,3,)/60)*F56),"0")</f>
        <v>0</v>
      </c>
      <c r="AC56" s="42">
        <f>IFERROR(((Q56*VLOOKUP(C56,'Custo Hora'!$B$3:$D$75,3,))/(I56/J56)),"0")</f>
        <v>0</v>
      </c>
      <c r="AD56" s="41">
        <f t="shared" si="6"/>
        <v>0</v>
      </c>
      <c r="AE56" s="40"/>
      <c r="AF56" s="39"/>
      <c r="AG56" s="38"/>
      <c r="AH56" s="37"/>
      <c r="AI56" s="36"/>
      <c r="AJ56" s="36"/>
      <c r="AK56" s="17">
        <f t="shared" si="7"/>
        <v>0</v>
      </c>
      <c r="AL56" s="188">
        <v>47</v>
      </c>
    </row>
    <row r="57" spans="1:38" s="23" customFormat="1" ht="11.25" customHeight="1" outlineLevel="1" x14ac:dyDescent="0.2">
      <c r="A57" s="53"/>
      <c r="B57" s="146" t="s">
        <v>186</v>
      </c>
      <c r="C57" s="175" t="s">
        <v>224</v>
      </c>
      <c r="D57" s="147" t="str">
        <f>IFERROR(VLOOKUP(C57,'Material Comprado'!$B$3:$E$419,2,),"")</f>
        <v>ACO RED LAM SAE 1045 Ø47,62 X</v>
      </c>
      <c r="E57" s="52" t="s">
        <v>179</v>
      </c>
      <c r="F57" s="157">
        <v>1</v>
      </c>
      <c r="G57" s="51"/>
      <c r="H57" s="148">
        <f t="shared" si="4"/>
        <v>12000</v>
      </c>
      <c r="I57" s="148">
        <f>'Dados de Entrada'!$K$9</f>
        <v>500</v>
      </c>
      <c r="J57" s="50">
        <f>'Dados de Entrada'!$M$9</f>
        <v>1</v>
      </c>
      <c r="K57" s="49"/>
      <c r="L57" s="37"/>
      <c r="M57" s="47"/>
      <c r="N57" s="150" t="str">
        <f>IFERROR(VLOOKUP(C57,'Custo Hora'!$B$3:$D$75,2,),"")</f>
        <v/>
      </c>
      <c r="O57" s="47"/>
      <c r="P57" s="145"/>
      <c r="Q57" s="145"/>
      <c r="R57" s="48"/>
      <c r="S57" s="47"/>
      <c r="T57" s="37"/>
      <c r="U57" s="37"/>
      <c r="V57" s="46">
        <f>IFERROR((VLOOKUP(C57,'Material Comprado'!$B$2:$E$439,4,FALSE)),"0")</f>
        <v>6.827</v>
      </c>
      <c r="W57" s="37">
        <f t="shared" si="5"/>
        <v>6.827</v>
      </c>
      <c r="X57" s="45"/>
      <c r="Y57" s="44"/>
      <c r="Z57" s="44"/>
      <c r="AA57" s="43"/>
      <c r="AB57" s="42" t="str">
        <f>IFERROR(((P57*VLOOKUP(C57,'Custo Hora'!$B$3:$D$75,3,)/60)*F57),"0")</f>
        <v>0</v>
      </c>
      <c r="AC57" s="42" t="str">
        <f>IFERROR(((Q57*VLOOKUP(C57,'Custo Hora'!$B$3:$D$75,3,))/(I57/J57)),"0")</f>
        <v>0</v>
      </c>
      <c r="AD57" s="41">
        <f t="shared" si="6"/>
        <v>6.827</v>
      </c>
      <c r="AE57" s="40"/>
      <c r="AF57" s="39"/>
      <c r="AG57" s="38"/>
      <c r="AH57" s="37"/>
      <c r="AI57" s="36"/>
      <c r="AJ57" s="36"/>
      <c r="AK57" s="17">
        <f t="shared" si="7"/>
        <v>1.1522687405121848E-2</v>
      </c>
      <c r="AL57" s="188">
        <v>48</v>
      </c>
    </row>
    <row r="58" spans="1:38" s="23" customFormat="1" ht="11.25" customHeight="1" outlineLevel="1" x14ac:dyDescent="0.2">
      <c r="A58" s="53"/>
      <c r="B58" s="146" t="s">
        <v>185</v>
      </c>
      <c r="C58" s="175" t="s">
        <v>225</v>
      </c>
      <c r="D58" s="147" t="str">
        <f>IFERROR(VLOOKUP(C58,'Material Comprado'!$B$3:$E$419,2,),"")</f>
        <v>ZINCADO - TAMPA DO PISTAO -TF</v>
      </c>
      <c r="E58" s="52" t="s">
        <v>181</v>
      </c>
      <c r="F58" s="157">
        <v>1</v>
      </c>
      <c r="G58" s="51"/>
      <c r="H58" s="148">
        <f t="shared" si="4"/>
        <v>12000</v>
      </c>
      <c r="I58" s="148">
        <f>'Dados de Entrada'!$K$9</f>
        <v>500</v>
      </c>
      <c r="J58" s="50">
        <f>'Dados de Entrada'!$M$9</f>
        <v>1</v>
      </c>
      <c r="K58" s="49"/>
      <c r="L58" s="37"/>
      <c r="M58" s="47"/>
      <c r="N58" s="150" t="str">
        <f>IFERROR(VLOOKUP(C58,'Custo Hora'!$B$3:$D$75,2,),"")</f>
        <v/>
      </c>
      <c r="O58" s="47"/>
      <c r="P58" s="145"/>
      <c r="Q58" s="145"/>
      <c r="R58" s="48"/>
      <c r="S58" s="47"/>
      <c r="T58" s="37"/>
      <c r="U58" s="37"/>
      <c r="V58" s="46">
        <f>IFERROR((VLOOKUP(C58,'Material Comprado'!$B$2:$E$439,4,FALSE)),"0")</f>
        <v>2</v>
      </c>
      <c r="W58" s="37">
        <f t="shared" si="5"/>
        <v>2</v>
      </c>
      <c r="X58" s="45"/>
      <c r="Y58" s="44"/>
      <c r="Z58" s="44"/>
      <c r="AA58" s="43"/>
      <c r="AB58" s="42" t="str">
        <f>IFERROR(((P58*VLOOKUP(C58,'Custo Hora'!$B$3:$D$75,3,)/60)*F58),"0")</f>
        <v>0</v>
      </c>
      <c r="AC58" s="42" t="str">
        <f>IFERROR(((Q58*VLOOKUP(C58,'Custo Hora'!$B$3:$D$75,3,))/(I58/J58)),"0")</f>
        <v>0</v>
      </c>
      <c r="AD58" s="41">
        <f t="shared" si="6"/>
        <v>2</v>
      </c>
      <c r="AE58" s="40"/>
      <c r="AF58" s="39"/>
      <c r="AG58" s="38"/>
      <c r="AH58" s="37"/>
      <c r="AI58" s="36"/>
      <c r="AJ58" s="36"/>
      <c r="AK58" s="17">
        <f t="shared" si="7"/>
        <v>3.3756225004018892E-3</v>
      </c>
      <c r="AL58" s="188">
        <v>49</v>
      </c>
    </row>
    <row r="59" spans="1:38" s="23" customFormat="1" ht="11.25" customHeight="1" outlineLevel="1" x14ac:dyDescent="0.2">
      <c r="A59" s="53"/>
      <c r="B59" s="146" t="s">
        <v>184</v>
      </c>
      <c r="C59" s="175" t="s">
        <v>226</v>
      </c>
      <c r="D59" s="147" t="str">
        <f>IFERROR(VLOOKUP(C59,'Material Comprado'!$B$3:$E$419,2,),"")</f>
        <v>GARFO DE ENGATE USINADO TF 75</v>
      </c>
      <c r="E59" s="52" t="s">
        <v>179</v>
      </c>
      <c r="F59" s="157">
        <v>1</v>
      </c>
      <c r="G59" s="51"/>
      <c r="H59" s="148">
        <f t="shared" si="4"/>
        <v>12000</v>
      </c>
      <c r="I59" s="148">
        <f>'Dados de Entrada'!$K$9</f>
        <v>500</v>
      </c>
      <c r="J59" s="50">
        <f>'Dados de Entrada'!$M$9</f>
        <v>1</v>
      </c>
      <c r="K59" s="49"/>
      <c r="L59" s="37"/>
      <c r="M59" s="47"/>
      <c r="N59" s="150" t="str">
        <f>IFERROR(VLOOKUP(C59,'Custo Hora'!$B$3:$D$75,2,),"")</f>
        <v/>
      </c>
      <c r="O59" s="47"/>
      <c r="P59" s="145"/>
      <c r="Q59" s="145"/>
      <c r="R59" s="48"/>
      <c r="S59" s="47"/>
      <c r="T59" s="37"/>
      <c r="U59" s="37"/>
      <c r="V59" s="46">
        <f>IFERROR((VLOOKUP(C59,'Material Comprado'!$B$2:$E$439,4,FALSE)),"0")</f>
        <v>0</v>
      </c>
      <c r="W59" s="37">
        <f t="shared" si="5"/>
        <v>0</v>
      </c>
      <c r="X59" s="45"/>
      <c r="Y59" s="44"/>
      <c r="Z59" s="44"/>
      <c r="AA59" s="43"/>
      <c r="AB59" s="42" t="str">
        <f>IFERROR(((P59*VLOOKUP(C59,'Custo Hora'!$B$3:$D$75,3,)/60)*F59),"0")</f>
        <v>0</v>
      </c>
      <c r="AC59" s="42" t="str">
        <f>IFERROR(((Q59*VLOOKUP(C59,'Custo Hora'!$B$3:$D$75,3,))/(I59/J59)),"0")</f>
        <v>0</v>
      </c>
      <c r="AD59" s="41">
        <f t="shared" si="6"/>
        <v>0</v>
      </c>
      <c r="AE59" s="40"/>
      <c r="AF59" s="39"/>
      <c r="AG59" s="38"/>
      <c r="AH59" s="37"/>
      <c r="AI59" s="36"/>
      <c r="AJ59" s="36"/>
      <c r="AK59" s="17">
        <f t="shared" si="7"/>
        <v>0</v>
      </c>
      <c r="AL59" s="188">
        <v>50</v>
      </c>
    </row>
    <row r="60" spans="1:38" s="23" customFormat="1" ht="11.25" customHeight="1" outlineLevel="1" x14ac:dyDescent="0.2">
      <c r="A60" s="53"/>
      <c r="B60" s="146" t="s">
        <v>185</v>
      </c>
      <c r="C60" s="175" t="s">
        <v>58</v>
      </c>
      <c r="D60" s="147" t="str">
        <f>IFERROR(VLOOKUP(C60,'Material Comprado'!$B$3:$E$419,2,),"")</f>
        <v/>
      </c>
      <c r="E60" s="52" t="s">
        <v>187</v>
      </c>
      <c r="F60" s="157">
        <v>1</v>
      </c>
      <c r="G60" s="51"/>
      <c r="H60" s="148">
        <f t="shared" si="4"/>
        <v>12000</v>
      </c>
      <c r="I60" s="148">
        <f>'Dados de Entrada'!$K$9</f>
        <v>500</v>
      </c>
      <c r="J60" s="50">
        <f>'Dados de Entrada'!$M$9</f>
        <v>1</v>
      </c>
      <c r="K60" s="49"/>
      <c r="L60" s="37"/>
      <c r="M60" s="47"/>
      <c r="N60" s="55" t="str">
        <f>IFERROR(VLOOKUP(C60,'Custo Hora'!$B$3:$D$75,2,),"")</f>
        <v>APC001 - ARMAZENAMENTO PRODUTO</v>
      </c>
      <c r="O60" s="47"/>
      <c r="P60" s="149"/>
      <c r="Q60" s="149"/>
      <c r="R60" s="48"/>
      <c r="S60" s="47"/>
      <c r="T60" s="37"/>
      <c r="U60" s="37"/>
      <c r="V60" s="172" t="str">
        <f>IFERROR((VLOOKUP(C60,'Material Comprado'!$B$2:$E$439,4,FALSE)),"0")</f>
        <v>0</v>
      </c>
      <c r="W60" s="174">
        <f t="shared" si="5"/>
        <v>0</v>
      </c>
      <c r="X60" s="45"/>
      <c r="Y60" s="44"/>
      <c r="Z60" s="44"/>
      <c r="AA60" s="43"/>
      <c r="AB60" s="42">
        <f>IFERROR(((P60*VLOOKUP(C60,'Custo Hora'!$B$3:$D$75,3,)/60)*F60),"0")</f>
        <v>0</v>
      </c>
      <c r="AC60" s="42">
        <f>IFERROR(((Q60*VLOOKUP(C60,'Custo Hora'!$B$3:$D$75,3,))/(I60/J60)),"0")</f>
        <v>0</v>
      </c>
      <c r="AD60" s="41">
        <f t="shared" si="6"/>
        <v>0</v>
      </c>
      <c r="AE60" s="40"/>
      <c r="AF60" s="39"/>
      <c r="AG60" s="38"/>
      <c r="AH60" s="37"/>
      <c r="AI60" s="36"/>
      <c r="AJ60" s="36"/>
      <c r="AK60" s="17">
        <f t="shared" si="7"/>
        <v>0</v>
      </c>
      <c r="AL60" s="188">
        <v>51</v>
      </c>
    </row>
    <row r="61" spans="1:38" s="23" customFormat="1" ht="11.25" customHeight="1" outlineLevel="1" x14ac:dyDescent="0.2">
      <c r="A61" s="53"/>
      <c r="B61" s="146" t="s">
        <v>185</v>
      </c>
      <c r="C61" s="175" t="s">
        <v>169</v>
      </c>
      <c r="D61" s="147" t="str">
        <f>IFERROR(VLOOKUP(C61,'Material Comprado'!$B$3:$E$419,2,),"")</f>
        <v/>
      </c>
      <c r="E61" s="52" t="s">
        <v>187</v>
      </c>
      <c r="F61" s="157">
        <v>1</v>
      </c>
      <c r="G61" s="51"/>
      <c r="H61" s="148">
        <f t="shared" si="4"/>
        <v>12000</v>
      </c>
      <c r="I61" s="148">
        <f>'Dados de Entrada'!$K$9</f>
        <v>500</v>
      </c>
      <c r="J61" s="50">
        <f>'Dados de Entrada'!$M$9</f>
        <v>1</v>
      </c>
      <c r="K61" s="49"/>
      <c r="L61" s="37"/>
      <c r="M61" s="47"/>
      <c r="N61" s="55" t="str">
        <f>IFERROR(VLOOKUP(C61,'Custo Hora'!$B$3:$D$75,2,),"")</f>
        <v xml:space="preserve">TOH003 - T.CNC.H.10.23 TORNO HYUNDAY 3 SKT15               </v>
      </c>
      <c r="O61" s="47"/>
      <c r="P61" s="149">
        <v>1.33</v>
      </c>
      <c r="Q61" s="149">
        <v>0.5</v>
      </c>
      <c r="R61" s="48"/>
      <c r="S61" s="47"/>
      <c r="T61" s="37"/>
      <c r="U61" s="37"/>
      <c r="V61" s="172" t="str">
        <f>IFERROR((VLOOKUP(C61,'Material Comprado'!$B$2:$E$439,4,FALSE)),"0")</f>
        <v>0</v>
      </c>
      <c r="W61" s="174">
        <f t="shared" si="5"/>
        <v>0</v>
      </c>
      <c r="X61" s="45"/>
      <c r="Y61" s="44"/>
      <c r="Z61" s="44"/>
      <c r="AA61" s="43"/>
      <c r="AB61" s="42">
        <f>IFERROR(((P61*VLOOKUP(C61,'Custo Hora'!$B$3:$D$75,3,)/60)*F61),"0")</f>
        <v>2.2166666666666668</v>
      </c>
      <c r="AC61" s="42">
        <f>IFERROR(((Q61*VLOOKUP(C61,'Custo Hora'!$B$3:$D$75,3,))/(I61/J61)),"0")</f>
        <v>0.1</v>
      </c>
      <c r="AD61" s="41">
        <f t="shared" si="6"/>
        <v>2.3166666666666669</v>
      </c>
      <c r="AE61" s="40"/>
      <c r="AF61" s="39"/>
      <c r="AG61" s="38"/>
      <c r="AH61" s="37"/>
      <c r="AI61" s="36"/>
      <c r="AJ61" s="36"/>
      <c r="AK61" s="17">
        <f t="shared" si="7"/>
        <v>3.9100960629655217E-3</v>
      </c>
      <c r="AL61" s="188">
        <v>52</v>
      </c>
    </row>
    <row r="62" spans="1:38" s="23" customFormat="1" ht="11.25" customHeight="1" outlineLevel="1" x14ac:dyDescent="0.2">
      <c r="A62" s="53"/>
      <c r="B62" s="146" t="s">
        <v>185</v>
      </c>
      <c r="C62" s="175" t="s">
        <v>169</v>
      </c>
      <c r="D62" s="147" t="str">
        <f>IFERROR(VLOOKUP(C62,'Material Comprado'!$B$3:$E$419,2,),"")</f>
        <v/>
      </c>
      <c r="E62" s="52" t="s">
        <v>187</v>
      </c>
      <c r="F62" s="157">
        <v>1</v>
      </c>
      <c r="G62" s="51"/>
      <c r="H62" s="148">
        <f t="shared" si="4"/>
        <v>12000</v>
      </c>
      <c r="I62" s="148">
        <f>'Dados de Entrada'!$K$9</f>
        <v>500</v>
      </c>
      <c r="J62" s="50">
        <f>'Dados de Entrada'!$M$9</f>
        <v>1</v>
      </c>
      <c r="K62" s="49"/>
      <c r="L62" s="37"/>
      <c r="M62" s="47"/>
      <c r="N62" s="55" t="str">
        <f>IFERROR(VLOOKUP(C62,'Custo Hora'!$B$3:$D$75,2,),"")</f>
        <v xml:space="preserve">TOH003 - T.CNC.H.10.23 TORNO HYUNDAY 3 SKT15               </v>
      </c>
      <c r="O62" s="47"/>
      <c r="P62" s="149">
        <v>1.25</v>
      </c>
      <c r="Q62" s="149">
        <v>0.5</v>
      </c>
      <c r="R62" s="48"/>
      <c r="S62" s="47"/>
      <c r="T62" s="37"/>
      <c r="U62" s="37"/>
      <c r="V62" s="172" t="str">
        <f>IFERROR((VLOOKUP(C62,'Material Comprado'!$B$2:$E$439,4,FALSE)),"0")</f>
        <v>0</v>
      </c>
      <c r="W62" s="174">
        <f t="shared" si="5"/>
        <v>0</v>
      </c>
      <c r="X62" s="45"/>
      <c r="Y62" s="44"/>
      <c r="Z62" s="44"/>
      <c r="AA62" s="43"/>
      <c r="AB62" s="42">
        <f>IFERROR(((P62*VLOOKUP(C62,'Custo Hora'!$B$3:$D$75,3,)/60)*F62),"0")</f>
        <v>2.0833333333333335</v>
      </c>
      <c r="AC62" s="42">
        <f>IFERROR(((Q62*VLOOKUP(C62,'Custo Hora'!$B$3:$D$75,3,))/(I62/J62)),"0")</f>
        <v>0.1</v>
      </c>
      <c r="AD62" s="41">
        <f t="shared" si="6"/>
        <v>2.1833333333333336</v>
      </c>
      <c r="AE62" s="40"/>
      <c r="AF62" s="39"/>
      <c r="AG62" s="38"/>
      <c r="AH62" s="37"/>
      <c r="AI62" s="36"/>
      <c r="AJ62" s="36"/>
      <c r="AK62" s="17">
        <f t="shared" si="7"/>
        <v>3.6850545629387292E-3</v>
      </c>
      <c r="AL62" s="188">
        <v>53</v>
      </c>
    </row>
    <row r="63" spans="1:38" s="23" customFormat="1" ht="11.25" customHeight="1" outlineLevel="1" x14ac:dyDescent="0.2">
      <c r="A63" s="53"/>
      <c r="B63" s="146" t="s">
        <v>185</v>
      </c>
      <c r="C63" s="175" t="s">
        <v>58</v>
      </c>
      <c r="D63" s="147" t="str">
        <f>IFERROR(VLOOKUP(C63,'Material Comprado'!$B$3:$E$419,2,),"")</f>
        <v/>
      </c>
      <c r="E63" s="52" t="s">
        <v>187</v>
      </c>
      <c r="F63" s="157">
        <v>1</v>
      </c>
      <c r="G63" s="51"/>
      <c r="H63" s="148">
        <f t="shared" si="4"/>
        <v>12000</v>
      </c>
      <c r="I63" s="148">
        <f>'Dados de Entrada'!$K$9</f>
        <v>500</v>
      </c>
      <c r="J63" s="50">
        <f>'Dados de Entrada'!$M$9</f>
        <v>1</v>
      </c>
      <c r="K63" s="49"/>
      <c r="L63" s="37"/>
      <c r="M63" s="47"/>
      <c r="N63" s="55" t="str">
        <f>IFERROR(VLOOKUP(C63,'Custo Hora'!$B$3:$D$75,2,),"")</f>
        <v>APC001 - ARMAZENAMENTO PRODUTO</v>
      </c>
      <c r="O63" s="47"/>
      <c r="P63" s="149"/>
      <c r="Q63" s="149"/>
      <c r="R63" s="48"/>
      <c r="S63" s="47"/>
      <c r="T63" s="37"/>
      <c r="U63" s="37"/>
      <c r="V63" s="172" t="str">
        <f>IFERROR((VLOOKUP(C63,'Material Comprado'!$B$2:$E$439,4,FALSE)),"0")</f>
        <v>0</v>
      </c>
      <c r="W63" s="174">
        <f t="shared" si="5"/>
        <v>0</v>
      </c>
      <c r="X63" s="45"/>
      <c r="Y63" s="44"/>
      <c r="Z63" s="44"/>
      <c r="AA63" s="43"/>
      <c r="AB63" s="42">
        <f>IFERROR(((P63*VLOOKUP(C63,'Custo Hora'!$B$3:$D$75,3,)/60)*F63),"0")</f>
        <v>0</v>
      </c>
      <c r="AC63" s="42">
        <f>IFERROR(((Q63*VLOOKUP(C63,'Custo Hora'!$B$3:$D$75,3,))/(I63/J63)),"0")</f>
        <v>0</v>
      </c>
      <c r="AD63" s="41">
        <f t="shared" si="6"/>
        <v>0</v>
      </c>
      <c r="AE63" s="40"/>
      <c r="AF63" s="39"/>
      <c r="AG63" s="38"/>
      <c r="AH63" s="37"/>
      <c r="AI63" s="36"/>
      <c r="AJ63" s="36"/>
      <c r="AK63" s="17">
        <f t="shared" si="7"/>
        <v>0</v>
      </c>
      <c r="AL63" s="188">
        <v>54</v>
      </c>
    </row>
    <row r="64" spans="1:38" s="23" customFormat="1" ht="11.25" customHeight="1" outlineLevel="1" x14ac:dyDescent="0.2">
      <c r="A64" s="53"/>
      <c r="B64" s="146" t="s">
        <v>185</v>
      </c>
      <c r="C64" s="189">
        <v>75212199001</v>
      </c>
      <c r="D64" s="147" t="str">
        <f>IFERROR(VLOOKUP(C64,'Material Comprado'!$B$3:$E$419,2,),"")</f>
        <v>GARFO DE ENGATE FUNDIDO TF75 D</v>
      </c>
      <c r="E64" s="52" t="s">
        <v>179</v>
      </c>
      <c r="F64" s="157">
        <v>1</v>
      </c>
      <c r="G64" s="51"/>
      <c r="H64" s="148">
        <f t="shared" si="4"/>
        <v>12000</v>
      </c>
      <c r="I64" s="148">
        <f>'Dados de Entrada'!$K$9</f>
        <v>500</v>
      </c>
      <c r="J64" s="50">
        <f>'Dados de Entrada'!$M$9</f>
        <v>1</v>
      </c>
      <c r="K64" s="49"/>
      <c r="L64" s="37"/>
      <c r="M64" s="47"/>
      <c r="N64" s="150" t="str">
        <f>IFERROR(VLOOKUP(C64,'Custo Hora'!$B$3:$D$75,2,),"")</f>
        <v/>
      </c>
      <c r="O64" s="47"/>
      <c r="P64" s="145"/>
      <c r="Q64" s="183"/>
      <c r="R64" s="48"/>
      <c r="S64" s="47"/>
      <c r="T64" s="37"/>
      <c r="U64" s="37"/>
      <c r="V64" s="46">
        <f>IFERROR((VLOOKUP(C64,'Material Comprado'!$B$2:$E$439,4,FALSE)),"0")</f>
        <v>5.25</v>
      </c>
      <c r="W64" s="37">
        <f t="shared" si="5"/>
        <v>5.25</v>
      </c>
      <c r="X64" s="45"/>
      <c r="Y64" s="44"/>
      <c r="Z64" s="44"/>
      <c r="AA64" s="43"/>
      <c r="AB64" s="42" t="str">
        <f>IFERROR(((P64*VLOOKUP(C64,'Custo Hora'!$B$3:$D$75,3,)/60)*F64),"0")</f>
        <v>0</v>
      </c>
      <c r="AC64" s="42" t="str">
        <f>IFERROR(((Q64*VLOOKUP(C64,'Custo Hora'!$B$3:$D$75,3,))/(I64/J64)),"0")</f>
        <v>0</v>
      </c>
      <c r="AD64" s="41">
        <f t="shared" si="6"/>
        <v>5.25</v>
      </c>
      <c r="AE64" s="40"/>
      <c r="AF64" s="39"/>
      <c r="AG64" s="38"/>
      <c r="AH64" s="37"/>
      <c r="AI64" s="36"/>
      <c r="AJ64" s="36"/>
      <c r="AK64" s="17">
        <f t="shared" si="7"/>
        <v>8.8610090635549595E-3</v>
      </c>
      <c r="AL64" s="188">
        <v>55</v>
      </c>
    </row>
    <row r="65" spans="1:38" s="23" customFormat="1" ht="11.25" customHeight="1" outlineLevel="1" x14ac:dyDescent="0.2">
      <c r="A65" s="53"/>
      <c r="B65" s="146" t="s">
        <v>184</v>
      </c>
      <c r="C65" s="175" t="s">
        <v>227</v>
      </c>
      <c r="D65" s="147" t="str">
        <f>IFERROR(VLOOKUP(C65,'Material Comprado'!$B$3:$E$419,2,),"")</f>
        <v>CARRETEL DE ENGRENAGENS 31Z DE</v>
      </c>
      <c r="E65" s="52" t="s">
        <v>181</v>
      </c>
      <c r="F65" s="157">
        <v>1</v>
      </c>
      <c r="G65" s="51"/>
      <c r="H65" s="148">
        <f t="shared" si="4"/>
        <v>12000</v>
      </c>
      <c r="I65" s="148">
        <f>'Dados de Entrada'!$K$9</f>
        <v>500</v>
      </c>
      <c r="J65" s="50">
        <f>'Dados de Entrada'!$M$9</f>
        <v>1</v>
      </c>
      <c r="K65" s="49"/>
      <c r="L65" s="37"/>
      <c r="M65" s="47"/>
      <c r="N65" s="150" t="str">
        <f>IFERROR(VLOOKUP(C65,'Custo Hora'!$B$3:$D$75,2,),"")</f>
        <v/>
      </c>
      <c r="O65" s="47"/>
      <c r="P65" s="145"/>
      <c r="Q65" s="183"/>
      <c r="R65" s="48"/>
      <c r="S65" s="47"/>
      <c r="T65" s="37"/>
      <c r="U65" s="37"/>
      <c r="V65" s="46">
        <f>IFERROR((VLOOKUP(C65,'Material Comprado'!$B$2:$E$439,4,FALSE)),"0")</f>
        <v>0</v>
      </c>
      <c r="W65" s="37">
        <f t="shared" si="5"/>
        <v>0</v>
      </c>
      <c r="X65" s="45"/>
      <c r="Y65" s="44"/>
      <c r="Z65" s="44"/>
      <c r="AA65" s="43"/>
      <c r="AB65" s="42" t="str">
        <f>IFERROR(((P65*VLOOKUP(C65,'Custo Hora'!$B$3:$D$75,3,)/60)*F65),"0")</f>
        <v>0</v>
      </c>
      <c r="AC65" s="42" t="str">
        <f>IFERROR(((Q65*VLOOKUP(C65,'Custo Hora'!$B$3:$D$75,3,))/(I65/J65)),"0")</f>
        <v>0</v>
      </c>
      <c r="AD65" s="41">
        <f t="shared" si="6"/>
        <v>0</v>
      </c>
      <c r="AE65" s="40"/>
      <c r="AF65" s="39"/>
      <c r="AG65" s="38"/>
      <c r="AH65" s="37"/>
      <c r="AI65" s="36"/>
      <c r="AJ65" s="36"/>
      <c r="AK65" s="17">
        <f t="shared" si="7"/>
        <v>0</v>
      </c>
      <c r="AL65" s="188">
        <v>56</v>
      </c>
    </row>
    <row r="66" spans="1:38" s="23" customFormat="1" ht="11.25" customHeight="1" outlineLevel="1" x14ac:dyDescent="0.2">
      <c r="A66" s="53"/>
      <c r="B66" s="146" t="s">
        <v>185</v>
      </c>
      <c r="C66" s="175" t="s">
        <v>40</v>
      </c>
      <c r="D66" s="147" t="str">
        <f>IFERROR(VLOOKUP(C66,'Material Comprado'!$B$3:$E$419,2,),"")</f>
        <v/>
      </c>
      <c r="E66" s="52" t="s">
        <v>187</v>
      </c>
      <c r="F66" s="157">
        <v>1</v>
      </c>
      <c r="G66" s="51"/>
      <c r="H66" s="148">
        <f t="shared" si="4"/>
        <v>12000</v>
      </c>
      <c r="I66" s="148">
        <f>'Dados de Entrada'!$K$9</f>
        <v>500</v>
      </c>
      <c r="J66" s="50">
        <f>'Dados de Entrada'!$M$9</f>
        <v>1</v>
      </c>
      <c r="K66" s="49"/>
      <c r="L66" s="37"/>
      <c r="M66" s="47"/>
      <c r="N66" s="55" t="str">
        <f>IFERROR(VLOOKUP(C66,'Custo Hora'!$B$3:$D$75,2,),"")</f>
        <v>MET001/MET002 - METROLOGIA 1 E</v>
      </c>
      <c r="O66" s="47"/>
      <c r="P66" s="149"/>
      <c r="Q66" s="149"/>
      <c r="R66" s="48"/>
      <c r="S66" s="47"/>
      <c r="T66" s="37"/>
      <c r="U66" s="37"/>
      <c r="V66" s="172" t="str">
        <f>IFERROR((VLOOKUP(C66,'Material Comprado'!$B$2:$E$439,4,FALSE)),"0")</f>
        <v>0</v>
      </c>
      <c r="W66" s="174">
        <f t="shared" si="5"/>
        <v>0</v>
      </c>
      <c r="X66" s="45"/>
      <c r="Y66" s="44"/>
      <c r="Z66" s="44"/>
      <c r="AA66" s="43"/>
      <c r="AB66" s="42">
        <f>IFERROR(((P66*VLOOKUP(C66,'Custo Hora'!$B$3:$D$75,3,)/60)*F66),"0")</f>
        <v>0</v>
      </c>
      <c r="AC66" s="42">
        <f>IFERROR(((Q66*VLOOKUP(C66,'Custo Hora'!$B$3:$D$75,3,))/(I66/J66)),"0")</f>
        <v>0</v>
      </c>
      <c r="AD66" s="41">
        <f t="shared" si="6"/>
        <v>0</v>
      </c>
      <c r="AE66" s="40"/>
      <c r="AF66" s="39"/>
      <c r="AG66" s="38"/>
      <c r="AH66" s="37"/>
      <c r="AI66" s="36"/>
      <c r="AJ66" s="36"/>
      <c r="AK66" s="17">
        <f t="shared" si="7"/>
        <v>0</v>
      </c>
      <c r="AL66" s="188">
        <v>57</v>
      </c>
    </row>
    <row r="67" spans="1:38" s="23" customFormat="1" ht="11.25" customHeight="1" outlineLevel="1" x14ac:dyDescent="0.2">
      <c r="A67" s="53"/>
      <c r="B67" s="146" t="s">
        <v>185</v>
      </c>
      <c r="C67" s="175" t="s">
        <v>38</v>
      </c>
      <c r="D67" s="147" t="str">
        <f>IFERROR(VLOOKUP(C67,'Material Comprado'!$B$3:$E$419,2,),"")</f>
        <v/>
      </c>
      <c r="E67" s="52" t="s">
        <v>187</v>
      </c>
      <c r="F67" s="157">
        <v>1</v>
      </c>
      <c r="G67" s="51"/>
      <c r="H67" s="148">
        <f t="shared" si="4"/>
        <v>12000</v>
      </c>
      <c r="I67" s="148">
        <f>'Dados de Entrada'!$K$9</f>
        <v>500</v>
      </c>
      <c r="J67" s="50">
        <f>'Dados de Entrada'!$M$9</f>
        <v>1</v>
      </c>
      <c r="K67" s="49"/>
      <c r="L67" s="37"/>
      <c r="M67" s="47"/>
      <c r="N67" s="55" t="str">
        <f>IFERROR(VLOOKUP(C67,'Custo Hora'!$B$3:$D$75,2,),"")</f>
        <v>REB001 - RB.CV.001 REBARBADORA</v>
      </c>
      <c r="O67" s="47"/>
      <c r="P67" s="149">
        <v>1.5</v>
      </c>
      <c r="Q67" s="149">
        <v>0.5</v>
      </c>
      <c r="R67" s="48"/>
      <c r="S67" s="47"/>
      <c r="T67" s="37"/>
      <c r="U67" s="37"/>
      <c r="V67" s="172" t="str">
        <f>IFERROR((VLOOKUP(C67,'Material Comprado'!$B$2:$E$439,4,FALSE)),"0")</f>
        <v>0</v>
      </c>
      <c r="W67" s="174">
        <f t="shared" si="5"/>
        <v>0</v>
      </c>
      <c r="X67" s="45"/>
      <c r="Y67" s="44"/>
      <c r="Z67" s="44"/>
      <c r="AA67" s="43"/>
      <c r="AB67" s="42">
        <f>IFERROR(((P67*VLOOKUP(C67,'Custo Hora'!$B$3:$D$75,3,)/60)*F67),"0")</f>
        <v>1.75</v>
      </c>
      <c r="AC67" s="42">
        <f>IFERROR(((Q67*VLOOKUP(C67,'Custo Hora'!$B$3:$D$75,3,))/(I67/J67)),"0")</f>
        <v>7.0000000000000007E-2</v>
      </c>
      <c r="AD67" s="41">
        <f t="shared" si="6"/>
        <v>1.82</v>
      </c>
      <c r="AE67" s="40"/>
      <c r="AF67" s="39"/>
      <c r="AG67" s="38"/>
      <c r="AH67" s="37"/>
      <c r="AI67" s="36"/>
      <c r="AJ67" s="36"/>
      <c r="AK67" s="17">
        <f t="shared" si="7"/>
        <v>3.0718164753657192E-3</v>
      </c>
      <c r="AL67" s="188">
        <v>58</v>
      </c>
    </row>
    <row r="68" spans="1:38" s="23" customFormat="1" ht="11.25" customHeight="1" outlineLevel="1" x14ac:dyDescent="0.2">
      <c r="A68" s="53"/>
      <c r="B68" s="146" t="s">
        <v>185</v>
      </c>
      <c r="C68" s="175" t="s">
        <v>217</v>
      </c>
      <c r="D68" s="147" t="str">
        <f>IFERROR(VLOOKUP(C68,'Material Comprado'!$B$3:$E$419,2,),"")</f>
        <v/>
      </c>
      <c r="E68" s="52" t="s">
        <v>187</v>
      </c>
      <c r="F68" s="157">
        <v>1</v>
      </c>
      <c r="G68" s="51"/>
      <c r="H68" s="148">
        <f t="shared" si="4"/>
        <v>12000</v>
      </c>
      <c r="I68" s="148">
        <f>'Dados de Entrada'!$K$9</f>
        <v>500</v>
      </c>
      <c r="J68" s="50">
        <f>'Dados de Entrada'!$M$9</f>
        <v>1</v>
      </c>
      <c r="K68" s="49"/>
      <c r="L68" s="37"/>
      <c r="M68" s="47"/>
      <c r="N68" s="55" t="str">
        <f>IFERROR(VLOOKUP(C68,'Custo Hora'!$B$3:$D$75,2,),"")</f>
        <v xml:space="preserve">TOI012 - TORNO INDEX 9 MC170                 </v>
      </c>
      <c r="O68" s="47"/>
      <c r="P68" s="149">
        <v>2.75</v>
      </c>
      <c r="Q68" s="149">
        <v>0.5</v>
      </c>
      <c r="R68" s="48"/>
      <c r="S68" s="47"/>
      <c r="T68" s="37"/>
      <c r="U68" s="37"/>
      <c r="V68" s="172" t="str">
        <f>IFERROR((VLOOKUP(C68,'Material Comprado'!$B$2:$E$439,4,FALSE)),"0")</f>
        <v>0</v>
      </c>
      <c r="W68" s="174">
        <f t="shared" si="5"/>
        <v>0</v>
      </c>
      <c r="X68" s="45"/>
      <c r="Y68" s="44"/>
      <c r="Z68" s="44"/>
      <c r="AA68" s="43"/>
      <c r="AB68" s="42">
        <f>IFERROR(((P68*VLOOKUP(C68,'Custo Hora'!$B$3:$D$75,3,)/60)*F68),"0")</f>
        <v>4.583333333333333</v>
      </c>
      <c r="AC68" s="42">
        <f>IFERROR(((Q68*VLOOKUP(C68,'Custo Hora'!$B$3:$D$75,3,))/(I68/J68)),"0")</f>
        <v>0.1</v>
      </c>
      <c r="AD68" s="41">
        <f t="shared" si="6"/>
        <v>4.6833333333333327</v>
      </c>
      <c r="AE68" s="40"/>
      <c r="AF68" s="39"/>
      <c r="AG68" s="38"/>
      <c r="AH68" s="37"/>
      <c r="AI68" s="36"/>
      <c r="AJ68" s="36"/>
      <c r="AK68" s="17">
        <f t="shared" si="7"/>
        <v>7.9045826884410891E-3</v>
      </c>
      <c r="AL68" s="188">
        <v>59</v>
      </c>
    </row>
    <row r="69" spans="1:38" s="23" customFormat="1" ht="11.25" customHeight="1" outlineLevel="1" x14ac:dyDescent="0.2">
      <c r="A69" s="53"/>
      <c r="B69" s="146" t="s">
        <v>185</v>
      </c>
      <c r="C69" s="175" t="s">
        <v>58</v>
      </c>
      <c r="D69" s="147" t="str">
        <f>IFERROR(VLOOKUP(C69,'Material Comprado'!$B$3:$E$419,2,),"")</f>
        <v/>
      </c>
      <c r="E69" s="52" t="s">
        <v>187</v>
      </c>
      <c r="F69" s="157">
        <v>1</v>
      </c>
      <c r="G69" s="51"/>
      <c r="H69" s="148">
        <f t="shared" si="4"/>
        <v>12000</v>
      </c>
      <c r="I69" s="148">
        <f>'Dados de Entrada'!$K$9</f>
        <v>500</v>
      </c>
      <c r="J69" s="50">
        <f>'Dados de Entrada'!$M$9</f>
        <v>1</v>
      </c>
      <c r="K69" s="49"/>
      <c r="L69" s="37"/>
      <c r="M69" s="47"/>
      <c r="N69" s="55" t="str">
        <f>IFERROR(VLOOKUP(C69,'Custo Hora'!$B$3:$D$75,2,),"")</f>
        <v>APC001 - ARMAZENAMENTO PRODUTO</v>
      </c>
      <c r="O69" s="47"/>
      <c r="P69" s="149"/>
      <c r="Q69" s="149"/>
      <c r="R69" s="48"/>
      <c r="S69" s="47"/>
      <c r="T69" s="37"/>
      <c r="U69" s="37"/>
      <c r="V69" s="172" t="str">
        <f>IFERROR((VLOOKUP(C69,'Material Comprado'!$B$2:$E$439,4,FALSE)),"0")</f>
        <v>0</v>
      </c>
      <c r="W69" s="174">
        <f t="shared" si="5"/>
        <v>0</v>
      </c>
      <c r="X69" s="45"/>
      <c r="Y69" s="44"/>
      <c r="Z69" s="44"/>
      <c r="AA69" s="43"/>
      <c r="AB69" s="42">
        <f>IFERROR(((P69*VLOOKUP(C69,'Custo Hora'!$B$3:$D$75,3,)/60)*F69),"0")</f>
        <v>0</v>
      </c>
      <c r="AC69" s="42">
        <f>IFERROR(((Q69*VLOOKUP(C69,'Custo Hora'!$B$3:$D$75,3,))/(I69/J69)),"0")</f>
        <v>0</v>
      </c>
      <c r="AD69" s="41">
        <f t="shared" si="6"/>
        <v>0</v>
      </c>
      <c r="AE69" s="40"/>
      <c r="AF69" s="39"/>
      <c r="AG69" s="38"/>
      <c r="AH69" s="37"/>
      <c r="AI69" s="36"/>
      <c r="AJ69" s="36"/>
      <c r="AK69" s="17">
        <f t="shared" si="7"/>
        <v>0</v>
      </c>
      <c r="AL69" s="188">
        <v>60</v>
      </c>
    </row>
    <row r="70" spans="1:38" s="23" customFormat="1" ht="11.25" customHeight="1" outlineLevel="1" x14ac:dyDescent="0.2">
      <c r="A70" s="53"/>
      <c r="B70" s="146" t="s">
        <v>185</v>
      </c>
      <c r="C70" s="175" t="s">
        <v>228</v>
      </c>
      <c r="D70" s="147" t="str">
        <f>IFERROR(VLOOKUP(C70,'Material Comprado'!$B$3:$E$419,2,),"")</f>
        <v>CEMENTADO - ENGRENAGEM 31Z - E</v>
      </c>
      <c r="E70" s="52" t="s">
        <v>181</v>
      </c>
      <c r="F70" s="157">
        <v>1</v>
      </c>
      <c r="G70" s="51"/>
      <c r="H70" s="148">
        <f t="shared" si="4"/>
        <v>12000</v>
      </c>
      <c r="I70" s="148">
        <f>'Dados de Entrada'!$K$9</f>
        <v>500</v>
      </c>
      <c r="J70" s="50">
        <f>'Dados de Entrada'!$M$9</f>
        <v>1</v>
      </c>
      <c r="K70" s="49"/>
      <c r="L70" s="37"/>
      <c r="M70" s="47"/>
      <c r="N70" s="150" t="str">
        <f>IFERROR(VLOOKUP(C70,'Custo Hora'!$B$3:$D$75,2,),"")</f>
        <v/>
      </c>
      <c r="O70" s="47"/>
      <c r="P70" s="145"/>
      <c r="Q70" s="183"/>
      <c r="R70" s="48"/>
      <c r="S70" s="47"/>
      <c r="T70" s="37"/>
      <c r="U70" s="37"/>
      <c r="V70" s="46">
        <f>IFERROR((VLOOKUP(C70,'Material Comprado'!$B$2:$E$439,4,FALSE)),"0")</f>
        <v>10.96</v>
      </c>
      <c r="W70" s="37">
        <f t="shared" si="5"/>
        <v>10.96</v>
      </c>
      <c r="X70" s="45"/>
      <c r="Y70" s="44"/>
      <c r="Z70" s="44"/>
      <c r="AA70" s="43"/>
      <c r="AB70" s="42" t="str">
        <f>IFERROR(((P70*VLOOKUP(C70,'Custo Hora'!$B$3:$D$75,3,)/60)*F70),"0")</f>
        <v>0</v>
      </c>
      <c r="AC70" s="42" t="str">
        <f>IFERROR(((Q70*VLOOKUP(C70,'Custo Hora'!$B$3:$D$75,3,))/(I70/J70)),"0")</f>
        <v>0</v>
      </c>
      <c r="AD70" s="41">
        <f t="shared" si="6"/>
        <v>10.96</v>
      </c>
      <c r="AE70" s="40"/>
      <c r="AF70" s="39"/>
      <c r="AG70" s="38"/>
      <c r="AH70" s="37"/>
      <c r="AI70" s="36"/>
      <c r="AJ70" s="36"/>
      <c r="AK70" s="17">
        <f t="shared" si="7"/>
        <v>1.8498411302202353E-2</v>
      </c>
      <c r="AL70" s="188">
        <v>61</v>
      </c>
    </row>
    <row r="71" spans="1:38" s="23" customFormat="1" ht="11.25" customHeight="1" outlineLevel="1" x14ac:dyDescent="0.2">
      <c r="A71" s="53"/>
      <c r="B71" s="146" t="s">
        <v>185</v>
      </c>
      <c r="C71" s="175" t="s">
        <v>229</v>
      </c>
      <c r="D71" s="147" t="str">
        <f>IFERROR(VLOOKUP(C71,'Material Comprado'!$B$3:$E$419,2,),"")</f>
        <v>USINADO - ENGRENAGEM 31Z - ESO</v>
      </c>
      <c r="E71" s="52" t="s">
        <v>179</v>
      </c>
      <c r="F71" s="157">
        <v>1</v>
      </c>
      <c r="G71" s="51"/>
      <c r="H71" s="148">
        <f t="shared" si="4"/>
        <v>12000</v>
      </c>
      <c r="I71" s="148">
        <f>'Dados de Entrada'!$K$9</f>
        <v>500</v>
      </c>
      <c r="J71" s="50">
        <f>'Dados de Entrada'!$M$9</f>
        <v>1</v>
      </c>
      <c r="K71" s="49"/>
      <c r="L71" s="37"/>
      <c r="M71" s="47"/>
      <c r="N71" s="150" t="str">
        <f>IFERROR(VLOOKUP(C71,'Custo Hora'!$B$3:$D$75,2,),"")</f>
        <v/>
      </c>
      <c r="O71" s="47"/>
      <c r="P71" s="145"/>
      <c r="Q71" s="183"/>
      <c r="R71" s="48"/>
      <c r="S71" s="47"/>
      <c r="T71" s="37"/>
      <c r="U71" s="37"/>
      <c r="V71" s="46">
        <f>IFERROR((VLOOKUP(C71,'Material Comprado'!$B$2:$E$439,4,FALSE)),"0")</f>
        <v>0</v>
      </c>
      <c r="W71" s="37">
        <f t="shared" si="5"/>
        <v>0</v>
      </c>
      <c r="X71" s="45"/>
      <c r="Y71" s="44"/>
      <c r="Z71" s="44"/>
      <c r="AA71" s="43"/>
      <c r="AB71" s="42" t="str">
        <f>IFERROR(((P71*VLOOKUP(C71,'Custo Hora'!$B$3:$D$75,3,)/60)*F71),"0")</f>
        <v>0</v>
      </c>
      <c r="AC71" s="42" t="str">
        <f>IFERROR(((Q71*VLOOKUP(C71,'Custo Hora'!$B$3:$D$75,3,))/(I71/J71)),"0")</f>
        <v>0</v>
      </c>
      <c r="AD71" s="41">
        <f t="shared" si="6"/>
        <v>0</v>
      </c>
      <c r="AE71" s="40"/>
      <c r="AF71" s="39"/>
      <c r="AG71" s="38"/>
      <c r="AH71" s="37"/>
      <c r="AI71" s="36"/>
      <c r="AJ71" s="36"/>
      <c r="AK71" s="17">
        <f t="shared" si="7"/>
        <v>0</v>
      </c>
      <c r="AL71" s="188">
        <v>62</v>
      </c>
    </row>
    <row r="72" spans="1:38" s="23" customFormat="1" outlineLevel="1" x14ac:dyDescent="0.2">
      <c r="A72" s="53"/>
      <c r="B72" s="146" t="s">
        <v>186</v>
      </c>
      <c r="C72" s="175" t="s">
        <v>58</v>
      </c>
      <c r="D72" s="147" t="str">
        <f>IFERROR(VLOOKUP(C72,'Material Comprado'!$B$3:$E$419,2,),"")</f>
        <v/>
      </c>
      <c r="E72" s="52" t="s">
        <v>187</v>
      </c>
      <c r="F72" s="157">
        <v>1</v>
      </c>
      <c r="G72" s="51"/>
      <c r="H72" s="148">
        <f t="shared" si="4"/>
        <v>12000</v>
      </c>
      <c r="I72" s="148">
        <f>'Dados de Entrada'!$K$9</f>
        <v>500</v>
      </c>
      <c r="J72" s="50">
        <f>'Dados de Entrada'!$M$9</f>
        <v>1</v>
      </c>
      <c r="K72" s="49"/>
      <c r="L72" s="37"/>
      <c r="M72" s="47"/>
      <c r="N72" s="55" t="str">
        <f>IFERROR(VLOOKUP(C72,'Custo Hora'!$B$3:$D$75,2,),"")</f>
        <v>APC001 - ARMAZENAMENTO PRODUTO</v>
      </c>
      <c r="O72" s="47"/>
      <c r="P72" s="149"/>
      <c r="Q72" s="149"/>
      <c r="R72" s="48"/>
      <c r="S72" s="47"/>
      <c r="T72" s="37"/>
      <c r="U72" s="37"/>
      <c r="V72" s="172" t="str">
        <f>IFERROR((VLOOKUP(C72,'Material Comprado'!$B$2:$E$439,4,FALSE)),"0")</f>
        <v>0</v>
      </c>
      <c r="W72" s="174">
        <f t="shared" si="5"/>
        <v>0</v>
      </c>
      <c r="X72" s="45"/>
      <c r="Y72" s="44"/>
      <c r="Z72" s="44"/>
      <c r="AA72" s="43"/>
      <c r="AB72" s="42">
        <f>IFERROR(((P72*VLOOKUP(C72,'Custo Hora'!$B$3:$D$75,3,)/60)*F72),"0")</f>
        <v>0</v>
      </c>
      <c r="AC72" s="42">
        <f>IFERROR(((Q72*VLOOKUP(C72,'Custo Hora'!$B$3:$D$75,3,))/(I72/J72)),"0")</f>
        <v>0</v>
      </c>
      <c r="AD72" s="41">
        <f t="shared" si="6"/>
        <v>0</v>
      </c>
      <c r="AE72" s="40"/>
      <c r="AF72" s="39"/>
      <c r="AG72" s="38"/>
      <c r="AH72" s="37"/>
      <c r="AI72" s="36"/>
      <c r="AJ72" s="36"/>
      <c r="AK72" s="17">
        <f t="shared" si="7"/>
        <v>0</v>
      </c>
      <c r="AL72" s="188">
        <v>63</v>
      </c>
    </row>
    <row r="73" spans="1:38" s="23" customFormat="1" outlineLevel="1" x14ac:dyDescent="0.2">
      <c r="A73" s="53"/>
      <c r="B73" s="146" t="s">
        <v>186</v>
      </c>
      <c r="C73" s="175" t="s">
        <v>223</v>
      </c>
      <c r="D73" s="147" t="str">
        <f>IFERROR(VLOOKUP(C73,'Material Comprado'!$B$3:$E$419,2,),"")</f>
        <v/>
      </c>
      <c r="E73" s="52" t="s">
        <v>187</v>
      </c>
      <c r="F73" s="157">
        <v>1</v>
      </c>
      <c r="G73" s="51"/>
      <c r="H73" s="148">
        <f t="shared" si="4"/>
        <v>12000</v>
      </c>
      <c r="I73" s="148">
        <f>'Dados de Entrada'!$K$9</f>
        <v>500</v>
      </c>
      <c r="J73" s="50">
        <f>'Dados de Entrada'!$M$9</f>
        <v>1</v>
      </c>
      <c r="K73" s="49"/>
      <c r="L73" s="37"/>
      <c r="M73" s="47"/>
      <c r="N73" s="55" t="str">
        <f>IFERROR(VLOOKUP(C73,'Custo Hora'!$B$3:$D$75,2,),"")</f>
        <v xml:space="preserve">TOH009 - TORNO CNC HYUNDAI 9 SKT21                </v>
      </c>
      <c r="O73" s="47"/>
      <c r="P73" s="149">
        <v>3.5</v>
      </c>
      <c r="Q73" s="149">
        <v>1</v>
      </c>
      <c r="R73" s="48"/>
      <c r="S73" s="47"/>
      <c r="T73" s="37"/>
      <c r="U73" s="37"/>
      <c r="V73" s="172" t="str">
        <f>IFERROR((VLOOKUP(C73,'Material Comprado'!$B$2:$E$439,4,FALSE)),"0")</f>
        <v>0</v>
      </c>
      <c r="W73" s="174">
        <f t="shared" si="5"/>
        <v>0</v>
      </c>
      <c r="X73" s="45"/>
      <c r="Y73" s="44"/>
      <c r="Z73" s="44"/>
      <c r="AA73" s="43"/>
      <c r="AB73" s="42">
        <f>IFERROR(((P73*VLOOKUP(C73,'Custo Hora'!$B$3:$D$75,3,)/60)*F73),"0")</f>
        <v>5.833333333333333</v>
      </c>
      <c r="AC73" s="42">
        <f>IFERROR(((Q73*VLOOKUP(C73,'Custo Hora'!$B$3:$D$75,3,))/(I73/J73)),"0")</f>
        <v>0.2</v>
      </c>
      <c r="AD73" s="41">
        <f t="shared" si="6"/>
        <v>6.0333333333333332</v>
      </c>
      <c r="AE73" s="40"/>
      <c r="AF73" s="39"/>
      <c r="AG73" s="38"/>
      <c r="AH73" s="37"/>
      <c r="AI73" s="36"/>
      <c r="AJ73" s="36"/>
      <c r="AK73" s="17">
        <f t="shared" si="7"/>
        <v>1.0183127876212365E-2</v>
      </c>
      <c r="AL73" s="188">
        <v>64</v>
      </c>
    </row>
    <row r="74" spans="1:38" s="23" customFormat="1" outlineLevel="1" x14ac:dyDescent="0.2">
      <c r="A74" s="53"/>
      <c r="B74" s="146" t="s">
        <v>186</v>
      </c>
      <c r="C74" s="175" t="s">
        <v>223</v>
      </c>
      <c r="D74" s="147" t="str">
        <f>IFERROR(VLOOKUP(C74,'Material Comprado'!$B$3:$E$419,2,),"")</f>
        <v/>
      </c>
      <c r="E74" s="52" t="s">
        <v>187</v>
      </c>
      <c r="F74" s="157">
        <v>1</v>
      </c>
      <c r="G74" s="51"/>
      <c r="H74" s="148">
        <f t="shared" si="4"/>
        <v>12000</v>
      </c>
      <c r="I74" s="148">
        <f>'Dados de Entrada'!$K$9</f>
        <v>500</v>
      </c>
      <c r="J74" s="50">
        <f>'Dados de Entrada'!$M$9</f>
        <v>1</v>
      </c>
      <c r="K74" s="49"/>
      <c r="L74" s="37"/>
      <c r="M74" s="47"/>
      <c r="N74" s="55" t="str">
        <f>IFERROR(VLOOKUP(C74,'Custo Hora'!$B$3:$D$75,2,),"")</f>
        <v xml:space="preserve">TOH009 - TORNO CNC HYUNDAI 9 SKT21                </v>
      </c>
      <c r="O74" s="47"/>
      <c r="P74" s="149">
        <v>3.5</v>
      </c>
      <c r="Q74" s="149">
        <v>1</v>
      </c>
      <c r="R74" s="48"/>
      <c r="S74" s="47"/>
      <c r="T74" s="37"/>
      <c r="U74" s="37"/>
      <c r="V74" s="172" t="str">
        <f>IFERROR((VLOOKUP(C74,'Material Comprado'!$B$2:$E$439,4,FALSE)),"0")</f>
        <v>0</v>
      </c>
      <c r="W74" s="174">
        <f t="shared" si="5"/>
        <v>0</v>
      </c>
      <c r="X74" s="45"/>
      <c r="Y74" s="44"/>
      <c r="Z74" s="44"/>
      <c r="AA74" s="43"/>
      <c r="AB74" s="42">
        <f>IFERROR(((P74*VLOOKUP(C74,'Custo Hora'!$B$3:$D$75,3,)/60)*F74),"0")</f>
        <v>5.833333333333333</v>
      </c>
      <c r="AC74" s="42">
        <f>IFERROR(((Q74*VLOOKUP(C74,'Custo Hora'!$B$3:$D$75,3,))/(I74/J74)),"0")</f>
        <v>0.2</v>
      </c>
      <c r="AD74" s="41">
        <f t="shared" si="6"/>
        <v>6.0333333333333332</v>
      </c>
      <c r="AE74" s="40"/>
      <c r="AF74" s="39"/>
      <c r="AG74" s="38"/>
      <c r="AH74" s="37"/>
      <c r="AI74" s="36"/>
      <c r="AJ74" s="36"/>
      <c r="AK74" s="17">
        <f t="shared" si="7"/>
        <v>1.0183127876212365E-2</v>
      </c>
      <c r="AL74" s="188">
        <v>65</v>
      </c>
    </row>
    <row r="75" spans="1:38" s="23" customFormat="1" outlineLevel="1" x14ac:dyDescent="0.2">
      <c r="A75" s="53"/>
      <c r="B75" s="146" t="s">
        <v>186</v>
      </c>
      <c r="C75" s="175" t="s">
        <v>230</v>
      </c>
      <c r="D75" s="147" t="str">
        <f>IFERROR(VLOOKUP(C75,'Material Comprado'!$B$3:$E$419,2,),"")</f>
        <v/>
      </c>
      <c r="E75" s="52" t="s">
        <v>187</v>
      </c>
      <c r="F75" s="157">
        <v>1</v>
      </c>
      <c r="G75" s="51"/>
      <c r="H75" s="148">
        <f t="shared" ref="H75:H106" si="8">I75*12*2</f>
        <v>12000</v>
      </c>
      <c r="I75" s="148">
        <f>'Dados de Entrada'!$K$9</f>
        <v>500</v>
      </c>
      <c r="J75" s="50">
        <f>'Dados de Entrada'!$M$9</f>
        <v>1</v>
      </c>
      <c r="K75" s="49"/>
      <c r="L75" s="37"/>
      <c r="M75" s="47"/>
      <c r="N75" s="55" t="str">
        <f>IFERROR(VLOOKUP(C75,'Custo Hora'!$B$3:$D$75,2,),"")</f>
        <v xml:space="preserve">F.CV.V.20.09 GERADORA CV FELLOWS VISION FS-6 - 1  </v>
      </c>
      <c r="O75" s="47"/>
      <c r="P75" s="149">
        <v>6</v>
      </c>
      <c r="Q75" s="149">
        <v>0.5</v>
      </c>
      <c r="R75" s="48"/>
      <c r="S75" s="47"/>
      <c r="T75" s="37"/>
      <c r="U75" s="37"/>
      <c r="V75" s="172" t="str">
        <f>IFERROR((VLOOKUP(C75,'Material Comprado'!$B$2:$E$439,4,FALSE)),"0")</f>
        <v>0</v>
      </c>
      <c r="W75" s="174">
        <f t="shared" ref="W75:W106" si="9">((((T75*$C$3)*(1+$C$5))+((U75*$C$4)*(1+$C$6))+V75)*F75)</f>
        <v>0</v>
      </c>
      <c r="X75" s="45"/>
      <c r="Y75" s="44"/>
      <c r="Z75" s="44"/>
      <c r="AA75" s="43"/>
      <c r="AB75" s="42">
        <f>IFERROR(((P75*VLOOKUP(C75,'Custo Hora'!$B$3:$D$75,3,)/60)*F75),"0")</f>
        <v>8</v>
      </c>
      <c r="AC75" s="42">
        <f>IFERROR(((Q75*VLOOKUP(C75,'Custo Hora'!$B$3:$D$75,3,))/(I75/J75)),"0")</f>
        <v>0.08</v>
      </c>
      <c r="AD75" s="41">
        <f t="shared" ref="AD75:AD106" si="10">W75+AB75+AC75+X75</f>
        <v>8.08</v>
      </c>
      <c r="AE75" s="40"/>
      <c r="AF75" s="39"/>
      <c r="AG75" s="38"/>
      <c r="AH75" s="37"/>
      <c r="AI75" s="36"/>
      <c r="AJ75" s="36"/>
      <c r="AK75" s="17">
        <f t="shared" ref="AK75:AK106" si="11">AD75/$AD$147</f>
        <v>1.3637514901623632E-2</v>
      </c>
      <c r="AL75" s="188">
        <v>66</v>
      </c>
    </row>
    <row r="76" spans="1:38" s="23" customFormat="1" outlineLevel="1" x14ac:dyDescent="0.2">
      <c r="A76" s="53"/>
      <c r="B76" s="146" t="s">
        <v>186</v>
      </c>
      <c r="C76" s="175" t="s">
        <v>33</v>
      </c>
      <c r="D76" s="147" t="str">
        <f>IFERROR(VLOOKUP(C76,'Material Comprado'!$B$3:$E$419,2,),"")</f>
        <v/>
      </c>
      <c r="E76" s="52" t="s">
        <v>187</v>
      </c>
      <c r="F76" s="157">
        <v>1</v>
      </c>
      <c r="G76" s="51"/>
      <c r="H76" s="148">
        <f t="shared" si="8"/>
        <v>12000</v>
      </c>
      <c r="I76" s="148">
        <f>'Dados de Entrada'!$K$9</f>
        <v>500</v>
      </c>
      <c r="J76" s="50">
        <f>'Dados de Entrada'!$M$9</f>
        <v>1</v>
      </c>
      <c r="K76" s="49"/>
      <c r="L76" s="37"/>
      <c r="M76" s="47"/>
      <c r="N76" s="55" t="str">
        <f>IFERROR(VLOOKUP(C76,'Custo Hora'!$B$3:$D$75,2,),"")</f>
        <v>GEC001 - G.CV.V.20.06 GERADORA</v>
      </c>
      <c r="O76" s="47"/>
      <c r="P76" s="149">
        <v>7</v>
      </c>
      <c r="Q76" s="149">
        <v>0.5</v>
      </c>
      <c r="R76" s="48"/>
      <c r="S76" s="47"/>
      <c r="T76" s="37"/>
      <c r="U76" s="37"/>
      <c r="V76" s="172" t="str">
        <f>IFERROR((VLOOKUP(C76,'Material Comprado'!$B$2:$E$439,4,FALSE)),"0")</f>
        <v>0</v>
      </c>
      <c r="W76" s="174">
        <f t="shared" si="9"/>
        <v>0</v>
      </c>
      <c r="X76" s="45"/>
      <c r="Y76" s="44"/>
      <c r="Z76" s="44"/>
      <c r="AA76" s="43"/>
      <c r="AB76" s="42">
        <f>IFERROR(((P76*VLOOKUP(C76,'Custo Hora'!$B$3:$D$75,3,)/60)*F76),"0")</f>
        <v>9.3333333333333339</v>
      </c>
      <c r="AC76" s="42">
        <f>IFERROR(((Q76*VLOOKUP(C76,'Custo Hora'!$B$3:$D$75,3,))/(I76/J76)),"0")</f>
        <v>0.08</v>
      </c>
      <c r="AD76" s="41">
        <f t="shared" si="10"/>
        <v>9.413333333333334</v>
      </c>
      <c r="AE76" s="40"/>
      <c r="AF76" s="39"/>
      <c r="AG76" s="38"/>
      <c r="AH76" s="37"/>
      <c r="AI76" s="36"/>
      <c r="AJ76" s="36"/>
      <c r="AK76" s="17">
        <f t="shared" si="11"/>
        <v>1.588792990189156E-2</v>
      </c>
      <c r="AL76" s="188">
        <v>67</v>
      </c>
    </row>
    <row r="77" spans="1:38" s="23" customFormat="1" outlineLevel="1" x14ac:dyDescent="0.2">
      <c r="A77" s="53"/>
      <c r="B77" s="146" t="s">
        <v>186</v>
      </c>
      <c r="C77" s="175" t="s">
        <v>40</v>
      </c>
      <c r="D77" s="147" t="str">
        <f>IFERROR(VLOOKUP(C77,'Material Comprado'!$B$3:$E$419,2,),"")</f>
        <v/>
      </c>
      <c r="E77" s="52" t="s">
        <v>187</v>
      </c>
      <c r="F77" s="157">
        <v>1</v>
      </c>
      <c r="G77" s="51"/>
      <c r="H77" s="148">
        <f t="shared" si="8"/>
        <v>12000</v>
      </c>
      <c r="I77" s="148">
        <f>'Dados de Entrada'!$K$9</f>
        <v>500</v>
      </c>
      <c r="J77" s="50">
        <f>'Dados de Entrada'!$M$9</f>
        <v>1</v>
      </c>
      <c r="K77" s="49"/>
      <c r="L77" s="37"/>
      <c r="M77" s="47"/>
      <c r="N77" s="55" t="str">
        <f>IFERROR(VLOOKUP(C77,'Custo Hora'!$B$3:$D$75,2,),"")</f>
        <v>MET001/MET002 - METROLOGIA 1 E</v>
      </c>
      <c r="O77" s="47"/>
      <c r="P77" s="149"/>
      <c r="Q77" s="149"/>
      <c r="R77" s="48"/>
      <c r="S77" s="47"/>
      <c r="T77" s="37"/>
      <c r="U77" s="37"/>
      <c r="V77" s="172" t="str">
        <f>IFERROR((VLOOKUP(C77,'Material Comprado'!$B$2:$E$439,4,FALSE)),"0")</f>
        <v>0</v>
      </c>
      <c r="W77" s="174">
        <f t="shared" si="9"/>
        <v>0</v>
      </c>
      <c r="X77" s="45"/>
      <c r="Y77" s="44"/>
      <c r="Z77" s="44"/>
      <c r="AA77" s="43"/>
      <c r="AB77" s="42">
        <f>IFERROR(((P77*VLOOKUP(C77,'Custo Hora'!$B$3:$D$75,3,)/60)*F77),"0")</f>
        <v>0</v>
      </c>
      <c r="AC77" s="42">
        <f>IFERROR(((Q77*VLOOKUP(C77,'Custo Hora'!$B$3:$D$75,3,))/(I77/J77)),"0")</f>
        <v>0</v>
      </c>
      <c r="AD77" s="41">
        <f t="shared" si="10"/>
        <v>0</v>
      </c>
      <c r="AE77" s="40"/>
      <c r="AF77" s="39"/>
      <c r="AG77" s="38"/>
      <c r="AH77" s="37"/>
      <c r="AI77" s="36"/>
      <c r="AJ77" s="36"/>
      <c r="AK77" s="17">
        <f t="shared" si="11"/>
        <v>0</v>
      </c>
      <c r="AL77" s="188">
        <v>68</v>
      </c>
    </row>
    <row r="78" spans="1:38" s="23" customFormat="1" ht="9" customHeight="1" outlineLevel="1" x14ac:dyDescent="0.2">
      <c r="A78" s="53"/>
      <c r="B78" s="146" t="s">
        <v>186</v>
      </c>
      <c r="C78" s="175" t="s">
        <v>231</v>
      </c>
      <c r="D78" s="147" t="str">
        <f>IFERROR(VLOOKUP(C78,'Material Comprado'!$B$3:$E$419,2,),"")</f>
        <v>ACO RED LAM 20MNCR5 Ø127 X 56M</v>
      </c>
      <c r="E78" s="52" t="s">
        <v>179</v>
      </c>
      <c r="F78" s="157">
        <v>1</v>
      </c>
      <c r="G78" s="51"/>
      <c r="H78" s="148">
        <f t="shared" si="8"/>
        <v>12000</v>
      </c>
      <c r="I78" s="148">
        <f>'Dados de Entrada'!$K$9</f>
        <v>500</v>
      </c>
      <c r="J78" s="50">
        <f>'Dados de Entrada'!$M$9</f>
        <v>1</v>
      </c>
      <c r="K78" s="49"/>
      <c r="L78" s="37"/>
      <c r="M78" s="47"/>
      <c r="N78" s="150" t="str">
        <f>IFERROR(VLOOKUP(C78,'Custo Hora'!$B$3:$D$75,2,),"")</f>
        <v/>
      </c>
      <c r="O78" s="47"/>
      <c r="P78" s="183"/>
      <c r="Q78" s="183"/>
      <c r="R78" s="48"/>
      <c r="S78" s="47"/>
      <c r="T78" s="37"/>
      <c r="U78" s="37"/>
      <c r="V78" s="46">
        <f>IFERROR((VLOOKUP(C78,'Material Comprado'!$B$2:$E$439,4,FALSE)),"0")</f>
        <v>97.534000000000006</v>
      </c>
      <c r="W78" s="37">
        <f t="shared" si="9"/>
        <v>97.534000000000006</v>
      </c>
      <c r="X78" s="45"/>
      <c r="Y78" s="44"/>
      <c r="Z78" s="44"/>
      <c r="AA78" s="43"/>
      <c r="AB78" s="42" t="str">
        <f>IFERROR(((P78*VLOOKUP(C78,'Custo Hora'!$B$3:$D$75,3,)/60)*F78),"0")</f>
        <v>0</v>
      </c>
      <c r="AC78" s="42" t="str">
        <f>IFERROR(((Q78*VLOOKUP(C78,'Custo Hora'!$B$3:$D$75,3,))/(I78/J78)),"0")</f>
        <v>0</v>
      </c>
      <c r="AD78" s="41">
        <f t="shared" si="10"/>
        <v>97.534000000000006</v>
      </c>
      <c r="AE78" s="40"/>
      <c r="AF78" s="39"/>
      <c r="AG78" s="38"/>
      <c r="AH78" s="37"/>
      <c r="AI78" s="36"/>
      <c r="AJ78" s="36"/>
      <c r="AK78" s="17">
        <f t="shared" si="11"/>
        <v>0.16461898247709894</v>
      </c>
      <c r="AL78" s="188">
        <v>69</v>
      </c>
    </row>
    <row r="79" spans="1:38" s="23" customFormat="1" ht="11.25" customHeight="1" outlineLevel="1" x14ac:dyDescent="0.2">
      <c r="A79" s="53"/>
      <c r="B79" s="146" t="s">
        <v>184</v>
      </c>
      <c r="C79" s="175" t="s">
        <v>232</v>
      </c>
      <c r="D79" s="147" t="str">
        <f>IFERROR(VLOOKUP(C79,'Material Comprado'!$B$3:$E$419,2,),"")</f>
        <v>ENGRENAGEM MOVEL 20Z TF 75 DEL</v>
      </c>
      <c r="E79" s="52" t="s">
        <v>179</v>
      </c>
      <c r="F79" s="157">
        <v>1</v>
      </c>
      <c r="G79" s="51"/>
      <c r="H79" s="148">
        <f t="shared" si="8"/>
        <v>12000</v>
      </c>
      <c r="I79" s="148">
        <f>'Dados de Entrada'!$K$9</f>
        <v>500</v>
      </c>
      <c r="J79" s="50">
        <f>'Dados de Entrada'!$M$9</f>
        <v>1</v>
      </c>
      <c r="K79" s="49"/>
      <c r="L79" s="37"/>
      <c r="M79" s="47"/>
      <c r="N79" s="150" t="str">
        <f>IFERROR(VLOOKUP(C79,'Custo Hora'!$B$3:$D$75,2,),"")</f>
        <v/>
      </c>
      <c r="O79" s="47"/>
      <c r="P79" s="183"/>
      <c r="Q79" s="183"/>
      <c r="R79" s="48"/>
      <c r="S79" s="47"/>
      <c r="T79" s="37"/>
      <c r="U79" s="37"/>
      <c r="V79" s="46">
        <f>IFERROR((VLOOKUP(C79,'Material Comprado'!$B$2:$E$439,4,FALSE)),"0")</f>
        <v>0</v>
      </c>
      <c r="W79" s="37">
        <f t="shared" si="9"/>
        <v>0</v>
      </c>
      <c r="X79" s="45"/>
      <c r="Y79" s="44"/>
      <c r="Z79" s="44"/>
      <c r="AA79" s="43"/>
      <c r="AB79" s="42" t="str">
        <f>IFERROR(((P79*VLOOKUP(C79,'Custo Hora'!$B$3:$D$75,3,)/60)*F79),"0")</f>
        <v>0</v>
      </c>
      <c r="AC79" s="42" t="str">
        <f>IFERROR(((Q79*VLOOKUP(C79,'Custo Hora'!$B$3:$D$75,3,))/(I79/J79)),"0")</f>
        <v>0</v>
      </c>
      <c r="AD79" s="41">
        <f t="shared" si="10"/>
        <v>0</v>
      </c>
      <c r="AE79" s="40"/>
      <c r="AF79" s="39"/>
      <c r="AG79" s="38"/>
      <c r="AH79" s="37"/>
      <c r="AI79" s="36"/>
      <c r="AJ79" s="36"/>
      <c r="AK79" s="17">
        <f t="shared" si="11"/>
        <v>0</v>
      </c>
      <c r="AL79" s="188">
        <v>70</v>
      </c>
    </row>
    <row r="80" spans="1:38" s="23" customFormat="1" ht="11.25" customHeight="1" outlineLevel="1" x14ac:dyDescent="0.2">
      <c r="A80" s="53"/>
      <c r="B80" s="146" t="s">
        <v>185</v>
      </c>
      <c r="C80" s="175" t="s">
        <v>40</v>
      </c>
      <c r="D80" s="147" t="str">
        <f>IFERROR(VLOOKUP(C80,'Material Comprado'!$B$3:$E$419,2,),"")</f>
        <v/>
      </c>
      <c r="E80" s="52" t="s">
        <v>187</v>
      </c>
      <c r="F80" s="157">
        <v>1</v>
      </c>
      <c r="G80" s="51"/>
      <c r="H80" s="148">
        <f t="shared" si="8"/>
        <v>12000</v>
      </c>
      <c r="I80" s="148">
        <f>'Dados de Entrada'!$K$9</f>
        <v>500</v>
      </c>
      <c r="J80" s="50">
        <f>'Dados de Entrada'!$M$9</f>
        <v>1</v>
      </c>
      <c r="K80" s="49"/>
      <c r="L80" s="37"/>
      <c r="M80" s="47"/>
      <c r="N80" s="55" t="str">
        <f>IFERROR(VLOOKUP(C80,'Custo Hora'!$B$3:$D$75,2,),"")</f>
        <v>MET001/MET002 - METROLOGIA 1 E</v>
      </c>
      <c r="O80" s="47"/>
      <c r="P80" s="149"/>
      <c r="Q80" s="149"/>
      <c r="R80" s="48"/>
      <c r="S80" s="47"/>
      <c r="T80" s="37"/>
      <c r="U80" s="37"/>
      <c r="V80" s="172" t="str">
        <f>IFERROR((VLOOKUP(C80,'Material Comprado'!$B$2:$E$439,4,FALSE)),"0")</f>
        <v>0</v>
      </c>
      <c r="W80" s="174">
        <f t="shared" si="9"/>
        <v>0</v>
      </c>
      <c r="X80" s="45"/>
      <c r="Y80" s="44"/>
      <c r="Z80" s="44"/>
      <c r="AA80" s="43"/>
      <c r="AB80" s="42">
        <f>IFERROR(((P80*VLOOKUP(C80,'Custo Hora'!$B$3:$D$75,3,)/60)*F80),"0")</f>
        <v>0</v>
      </c>
      <c r="AC80" s="42">
        <f>IFERROR(((Q80*VLOOKUP(C80,'Custo Hora'!$B$3:$D$75,3,))/(I80/J80)),"0")</f>
        <v>0</v>
      </c>
      <c r="AD80" s="41">
        <f t="shared" si="10"/>
        <v>0</v>
      </c>
      <c r="AE80" s="40"/>
      <c r="AF80" s="39"/>
      <c r="AG80" s="38"/>
      <c r="AH80" s="37"/>
      <c r="AI80" s="36"/>
      <c r="AJ80" s="36"/>
      <c r="AK80" s="17">
        <f t="shared" si="11"/>
        <v>0</v>
      </c>
      <c r="AL80" s="188">
        <v>71</v>
      </c>
    </row>
    <row r="81" spans="1:38" s="23" customFormat="1" ht="11.25" customHeight="1" outlineLevel="1" x14ac:dyDescent="0.2">
      <c r="A81" s="53"/>
      <c r="B81" s="146" t="s">
        <v>185</v>
      </c>
      <c r="C81" s="175" t="s">
        <v>38</v>
      </c>
      <c r="D81" s="147" t="str">
        <f>IFERROR(VLOOKUP(C81,'Material Comprado'!$B$3:$E$419,2,),"")</f>
        <v/>
      </c>
      <c r="E81" s="52" t="s">
        <v>187</v>
      </c>
      <c r="F81" s="157">
        <v>1</v>
      </c>
      <c r="G81" s="51"/>
      <c r="H81" s="148">
        <f t="shared" si="8"/>
        <v>12000</v>
      </c>
      <c r="I81" s="148">
        <f>'Dados de Entrada'!$K$9</f>
        <v>500</v>
      </c>
      <c r="J81" s="50">
        <f>'Dados de Entrada'!$M$9</f>
        <v>1</v>
      </c>
      <c r="K81" s="49"/>
      <c r="L81" s="37"/>
      <c r="M81" s="47"/>
      <c r="N81" s="55" t="str">
        <f>IFERROR(VLOOKUP(C81,'Custo Hora'!$B$3:$D$75,2,),"")</f>
        <v>REB001 - RB.CV.001 REBARBADORA</v>
      </c>
      <c r="O81" s="47"/>
      <c r="P81" s="149">
        <v>3.5</v>
      </c>
      <c r="Q81" s="149">
        <v>0.5</v>
      </c>
      <c r="R81" s="48"/>
      <c r="S81" s="47"/>
      <c r="T81" s="37"/>
      <c r="U81" s="37"/>
      <c r="V81" s="172" t="str">
        <f>IFERROR((VLOOKUP(C81,'Material Comprado'!$B$2:$E$439,4,FALSE)),"0")</f>
        <v>0</v>
      </c>
      <c r="W81" s="174">
        <f t="shared" si="9"/>
        <v>0</v>
      </c>
      <c r="X81" s="45"/>
      <c r="Y81" s="44"/>
      <c r="Z81" s="44"/>
      <c r="AA81" s="43"/>
      <c r="AB81" s="42">
        <f>IFERROR(((P81*VLOOKUP(C81,'Custo Hora'!$B$3:$D$75,3,)/60)*F81),"0")</f>
        <v>4.083333333333333</v>
      </c>
      <c r="AC81" s="42">
        <f>IFERROR(((Q81*VLOOKUP(C81,'Custo Hora'!$B$3:$D$75,3,))/(I81/J81)),"0")</f>
        <v>7.0000000000000007E-2</v>
      </c>
      <c r="AD81" s="41">
        <f t="shared" si="10"/>
        <v>4.1533333333333333</v>
      </c>
      <c r="AE81" s="40"/>
      <c r="AF81" s="39"/>
      <c r="AG81" s="38"/>
      <c r="AH81" s="37"/>
      <c r="AI81" s="36"/>
      <c r="AJ81" s="36"/>
      <c r="AK81" s="17">
        <f t="shared" si="11"/>
        <v>7.0100427258345897E-3</v>
      </c>
      <c r="AL81" s="188">
        <v>72</v>
      </c>
    </row>
    <row r="82" spans="1:38" s="23" customFormat="1" ht="11.25" customHeight="1" outlineLevel="1" x14ac:dyDescent="0.2">
      <c r="A82" s="53"/>
      <c r="B82" s="146" t="s">
        <v>185</v>
      </c>
      <c r="C82" s="175" t="s">
        <v>58</v>
      </c>
      <c r="D82" s="147" t="str">
        <f>IFERROR(VLOOKUP(C82,'Material Comprado'!$B$3:$E$419,2,),"")</f>
        <v/>
      </c>
      <c r="E82" s="52" t="s">
        <v>187</v>
      </c>
      <c r="F82" s="157">
        <v>1</v>
      </c>
      <c r="G82" s="51"/>
      <c r="H82" s="148">
        <f t="shared" si="8"/>
        <v>12000</v>
      </c>
      <c r="I82" s="148">
        <f>'Dados de Entrada'!$K$9</f>
        <v>500</v>
      </c>
      <c r="J82" s="50">
        <f>'Dados de Entrada'!$M$9</f>
        <v>1</v>
      </c>
      <c r="K82" s="49"/>
      <c r="L82" s="37"/>
      <c r="M82" s="47"/>
      <c r="N82" s="55" t="str">
        <f>IFERROR(VLOOKUP(C82,'Custo Hora'!$B$3:$D$75,2,),"")</f>
        <v>APC001 - ARMAZENAMENTO PRODUTO</v>
      </c>
      <c r="O82" s="47"/>
      <c r="P82" s="149"/>
      <c r="Q82" s="149"/>
      <c r="R82" s="48"/>
      <c r="S82" s="47"/>
      <c r="T82" s="37"/>
      <c r="U82" s="37"/>
      <c r="V82" s="172" t="str">
        <f>IFERROR((VLOOKUP(C82,'Material Comprado'!$B$2:$E$439,4,FALSE)),"0")</f>
        <v>0</v>
      </c>
      <c r="W82" s="174">
        <f t="shared" si="9"/>
        <v>0</v>
      </c>
      <c r="X82" s="45"/>
      <c r="Y82" s="44"/>
      <c r="Z82" s="44"/>
      <c r="AA82" s="43"/>
      <c r="AB82" s="42">
        <f>IFERROR(((P82*VLOOKUP(C82,'Custo Hora'!$B$3:$D$75,3,)/60)*F82),"0")</f>
        <v>0</v>
      </c>
      <c r="AC82" s="42">
        <f>IFERROR(((Q82*VLOOKUP(C82,'Custo Hora'!$B$3:$D$75,3,))/(I82/J82)),"0")</f>
        <v>0</v>
      </c>
      <c r="AD82" s="41">
        <f t="shared" si="10"/>
        <v>0</v>
      </c>
      <c r="AE82" s="40"/>
      <c r="AF82" s="39"/>
      <c r="AG82" s="38"/>
      <c r="AH82" s="37"/>
      <c r="AI82" s="36"/>
      <c r="AJ82" s="36"/>
      <c r="AK82" s="17">
        <f t="shared" si="11"/>
        <v>0</v>
      </c>
      <c r="AL82" s="188">
        <v>73</v>
      </c>
    </row>
    <row r="83" spans="1:38" s="23" customFormat="1" ht="11.25" customHeight="1" outlineLevel="1" x14ac:dyDescent="0.2">
      <c r="A83" s="53"/>
      <c r="B83" s="146" t="s">
        <v>185</v>
      </c>
      <c r="C83" s="175" t="s">
        <v>233</v>
      </c>
      <c r="D83" s="147" t="str">
        <f>IFERROR(VLOOKUP(C83,'Material Comprado'!$B$3:$E$419,2,),"")</f>
        <v>CEMENTADO - ENGRENAGEM MOVEL 2</v>
      </c>
      <c r="E83" s="52" t="s">
        <v>181</v>
      </c>
      <c r="F83" s="157">
        <v>1</v>
      </c>
      <c r="G83" s="51"/>
      <c r="H83" s="148">
        <f t="shared" si="8"/>
        <v>12000</v>
      </c>
      <c r="I83" s="148">
        <f>'Dados de Entrada'!$K$9</f>
        <v>500</v>
      </c>
      <c r="J83" s="50">
        <f>'Dados de Entrada'!$M$9</f>
        <v>1</v>
      </c>
      <c r="K83" s="49"/>
      <c r="L83" s="37"/>
      <c r="M83" s="47"/>
      <c r="N83" s="150" t="str">
        <f>IFERROR(VLOOKUP(C83,'Custo Hora'!$B$3:$D$75,2,),"")</f>
        <v/>
      </c>
      <c r="O83" s="47"/>
      <c r="P83" s="183"/>
      <c r="Q83" s="183"/>
      <c r="R83" s="48"/>
      <c r="S83" s="47"/>
      <c r="T83" s="37"/>
      <c r="U83" s="37"/>
      <c r="V83" s="46">
        <f>IFERROR((VLOOKUP(C83,'Material Comprado'!$B$2:$E$439,4,FALSE)),"0")</f>
        <v>7.36</v>
      </c>
      <c r="W83" s="37">
        <f t="shared" si="9"/>
        <v>7.36</v>
      </c>
      <c r="X83" s="45"/>
      <c r="Y83" s="44"/>
      <c r="Z83" s="44"/>
      <c r="AA83" s="43"/>
      <c r="AB83" s="42" t="str">
        <f>IFERROR(((P83*VLOOKUP(C83,'Custo Hora'!$B$3:$D$75,3,)/60)*F83),"0")</f>
        <v>0</v>
      </c>
      <c r="AC83" s="42" t="str">
        <f>IFERROR(((Q83*VLOOKUP(C83,'Custo Hora'!$B$3:$D$75,3,))/(I83/J83)),"0")</f>
        <v>0</v>
      </c>
      <c r="AD83" s="41">
        <f t="shared" si="10"/>
        <v>7.36</v>
      </c>
      <c r="AE83" s="40"/>
      <c r="AF83" s="39"/>
      <c r="AG83" s="38"/>
      <c r="AH83" s="37"/>
      <c r="AI83" s="36"/>
      <c r="AJ83" s="36"/>
      <c r="AK83" s="17">
        <f t="shared" si="11"/>
        <v>1.2422290801478952E-2</v>
      </c>
      <c r="AL83" s="188">
        <v>74</v>
      </c>
    </row>
    <row r="84" spans="1:38" s="23" customFormat="1" ht="11.25" customHeight="1" outlineLevel="1" x14ac:dyDescent="0.2">
      <c r="A84" s="53"/>
      <c r="B84" s="146" t="s">
        <v>185</v>
      </c>
      <c r="C84" s="175" t="s">
        <v>234</v>
      </c>
      <c r="D84" s="147" t="str">
        <f>IFERROR(VLOOKUP(C84,'Material Comprado'!$B$3:$E$419,2,),"")</f>
        <v>USINADO - ENGRENAGEM MOVEL 20Z</v>
      </c>
      <c r="E84" s="52" t="s">
        <v>179</v>
      </c>
      <c r="F84" s="157">
        <v>1</v>
      </c>
      <c r="G84" s="51"/>
      <c r="H84" s="148">
        <f t="shared" si="8"/>
        <v>12000</v>
      </c>
      <c r="I84" s="148">
        <f>'Dados de Entrada'!$K$9</f>
        <v>500</v>
      </c>
      <c r="J84" s="50">
        <f>'Dados de Entrada'!$M$9</f>
        <v>1</v>
      </c>
      <c r="K84" s="49"/>
      <c r="L84" s="37"/>
      <c r="M84" s="47"/>
      <c r="N84" s="150" t="str">
        <f>IFERROR(VLOOKUP(C84,'Custo Hora'!$B$3:$D$75,2,),"")</f>
        <v/>
      </c>
      <c r="O84" s="47"/>
      <c r="P84" s="183"/>
      <c r="Q84" s="183"/>
      <c r="R84" s="48"/>
      <c r="S84" s="47"/>
      <c r="T84" s="37"/>
      <c r="U84" s="37"/>
      <c r="V84" s="46">
        <f>IFERROR((VLOOKUP(C84,'Material Comprado'!$B$2:$E$439,4,FALSE)),"0")</f>
        <v>0</v>
      </c>
      <c r="W84" s="37">
        <f t="shared" si="9"/>
        <v>0</v>
      </c>
      <c r="X84" s="45"/>
      <c r="Y84" s="44"/>
      <c r="Z84" s="44"/>
      <c r="AA84" s="43"/>
      <c r="AB84" s="42" t="str">
        <f>IFERROR(((P84*VLOOKUP(C84,'Custo Hora'!$B$3:$D$75,3,)/60)*F84),"0")</f>
        <v>0</v>
      </c>
      <c r="AC84" s="42" t="str">
        <f>IFERROR(((Q84*VLOOKUP(C84,'Custo Hora'!$B$3:$D$75,3,))/(I84/J84)),"0")</f>
        <v>0</v>
      </c>
      <c r="AD84" s="41">
        <f t="shared" si="10"/>
        <v>0</v>
      </c>
      <c r="AE84" s="40"/>
      <c r="AF84" s="39"/>
      <c r="AG84" s="38"/>
      <c r="AH84" s="37"/>
      <c r="AI84" s="36"/>
      <c r="AJ84" s="36"/>
      <c r="AK84" s="17">
        <f t="shared" si="11"/>
        <v>0</v>
      </c>
      <c r="AL84" s="188">
        <v>75</v>
      </c>
    </row>
    <row r="85" spans="1:38" s="23" customFormat="1" ht="11.25" customHeight="1" outlineLevel="1" x14ac:dyDescent="0.2">
      <c r="A85" s="53"/>
      <c r="B85" s="146" t="s">
        <v>186</v>
      </c>
      <c r="C85" s="175" t="s">
        <v>58</v>
      </c>
      <c r="D85" s="147" t="str">
        <f>IFERROR(VLOOKUP(C85,'Material Comprado'!$B$3:$E$419,2,),"")</f>
        <v/>
      </c>
      <c r="E85" s="52" t="s">
        <v>187</v>
      </c>
      <c r="F85" s="157">
        <v>1</v>
      </c>
      <c r="G85" s="51"/>
      <c r="H85" s="148">
        <f t="shared" si="8"/>
        <v>12000</v>
      </c>
      <c r="I85" s="148">
        <f>'Dados de Entrada'!$K$9</f>
        <v>500</v>
      </c>
      <c r="J85" s="50">
        <f>'Dados de Entrada'!$M$9</f>
        <v>1</v>
      </c>
      <c r="K85" s="49"/>
      <c r="L85" s="37"/>
      <c r="M85" s="47"/>
      <c r="N85" s="55" t="str">
        <f>IFERROR(VLOOKUP(C85,'Custo Hora'!$B$3:$D$75,2,),"")</f>
        <v>APC001 - ARMAZENAMENTO PRODUTO</v>
      </c>
      <c r="O85" s="47"/>
      <c r="P85" s="149"/>
      <c r="Q85" s="149"/>
      <c r="R85" s="48"/>
      <c r="S85" s="47"/>
      <c r="T85" s="37"/>
      <c r="U85" s="37"/>
      <c r="V85" s="172" t="str">
        <f>IFERROR((VLOOKUP(C85,'Material Comprado'!$B$2:$E$439,4,FALSE)),"0")</f>
        <v>0</v>
      </c>
      <c r="W85" s="174">
        <f t="shared" si="9"/>
        <v>0</v>
      </c>
      <c r="X85" s="45"/>
      <c r="Y85" s="44"/>
      <c r="Z85" s="44"/>
      <c r="AA85" s="43"/>
      <c r="AB85" s="42">
        <f>IFERROR(((P85*VLOOKUP(C85,'Custo Hora'!$B$3:$D$75,3,)/60)*F85),"0")</f>
        <v>0</v>
      </c>
      <c r="AC85" s="42">
        <f>IFERROR(((Q85*VLOOKUP(C85,'Custo Hora'!$B$3:$D$75,3,))/(I85/J85)),"0")</f>
        <v>0</v>
      </c>
      <c r="AD85" s="41">
        <f t="shared" si="10"/>
        <v>0</v>
      </c>
      <c r="AE85" s="40"/>
      <c r="AF85" s="39"/>
      <c r="AG85" s="38"/>
      <c r="AH85" s="37"/>
      <c r="AI85" s="36"/>
      <c r="AJ85" s="36"/>
      <c r="AK85" s="17">
        <f t="shared" si="11"/>
        <v>0</v>
      </c>
      <c r="AL85" s="188">
        <v>76</v>
      </c>
    </row>
    <row r="86" spans="1:38" s="23" customFormat="1" ht="11.25" customHeight="1" outlineLevel="1" x14ac:dyDescent="0.2">
      <c r="A86" s="53"/>
      <c r="B86" s="146" t="s">
        <v>186</v>
      </c>
      <c r="C86" s="175" t="s">
        <v>223</v>
      </c>
      <c r="D86" s="147" t="str">
        <f>IFERROR(VLOOKUP(C86,'Material Comprado'!$B$3:$E$419,2,),"")</f>
        <v/>
      </c>
      <c r="E86" s="52" t="s">
        <v>187</v>
      </c>
      <c r="F86" s="157">
        <v>1</v>
      </c>
      <c r="G86" s="51"/>
      <c r="H86" s="148">
        <f t="shared" si="8"/>
        <v>12000</v>
      </c>
      <c r="I86" s="148">
        <f>'Dados de Entrada'!$K$9</f>
        <v>500</v>
      </c>
      <c r="J86" s="50">
        <f>'Dados de Entrada'!$M$9</f>
        <v>1</v>
      </c>
      <c r="K86" s="49"/>
      <c r="L86" s="37"/>
      <c r="M86" s="47"/>
      <c r="N86" s="55" t="str">
        <f>IFERROR(VLOOKUP(C86,'Custo Hora'!$B$3:$D$75,2,),"")</f>
        <v xml:space="preserve">TOH009 - TORNO CNC HYUNDAI 9 SKT21                </v>
      </c>
      <c r="O86" s="47"/>
      <c r="P86" s="149">
        <v>4.25</v>
      </c>
      <c r="Q86" s="149">
        <v>0.5</v>
      </c>
      <c r="R86" s="48"/>
      <c r="S86" s="47"/>
      <c r="T86" s="37"/>
      <c r="U86" s="37"/>
      <c r="V86" s="172" t="str">
        <f>IFERROR((VLOOKUP(C86,'Material Comprado'!$B$2:$E$439,4,FALSE)),"0")</f>
        <v>0</v>
      </c>
      <c r="W86" s="174">
        <f t="shared" si="9"/>
        <v>0</v>
      </c>
      <c r="X86" s="45"/>
      <c r="Y86" s="44"/>
      <c r="Z86" s="44"/>
      <c r="AA86" s="43"/>
      <c r="AB86" s="42">
        <f>IFERROR(((P86*VLOOKUP(C86,'Custo Hora'!$B$3:$D$75,3,)/60)*F86),"0")</f>
        <v>7.083333333333333</v>
      </c>
      <c r="AC86" s="42">
        <f>IFERROR(((Q86*VLOOKUP(C86,'Custo Hora'!$B$3:$D$75,3,))/(I86/J86)),"0")</f>
        <v>0.1</v>
      </c>
      <c r="AD86" s="41">
        <f t="shared" si="10"/>
        <v>7.1833333333333327</v>
      </c>
      <c r="AE86" s="40"/>
      <c r="AF86" s="39"/>
      <c r="AG86" s="38"/>
      <c r="AH86" s="37"/>
      <c r="AI86" s="36"/>
      <c r="AJ86" s="36"/>
      <c r="AK86" s="17">
        <f t="shared" si="11"/>
        <v>1.212411081394345E-2</v>
      </c>
      <c r="AL86" s="188">
        <v>77</v>
      </c>
    </row>
    <row r="87" spans="1:38" s="23" customFormat="1" ht="11.25" customHeight="1" outlineLevel="1" x14ac:dyDescent="0.2">
      <c r="A87" s="53"/>
      <c r="B87" s="146" t="s">
        <v>186</v>
      </c>
      <c r="C87" s="175" t="s">
        <v>223</v>
      </c>
      <c r="D87" s="147" t="str">
        <f>IFERROR(VLOOKUP(C87,'Material Comprado'!$B$3:$E$419,2,),"")</f>
        <v/>
      </c>
      <c r="E87" s="52" t="s">
        <v>187</v>
      </c>
      <c r="F87" s="157">
        <v>1</v>
      </c>
      <c r="G87" s="51"/>
      <c r="H87" s="148">
        <f t="shared" si="8"/>
        <v>12000</v>
      </c>
      <c r="I87" s="148">
        <f>'Dados de Entrada'!$K$9</f>
        <v>500</v>
      </c>
      <c r="J87" s="50">
        <f>'Dados de Entrada'!$M$9</f>
        <v>1</v>
      </c>
      <c r="K87" s="49"/>
      <c r="L87" s="37"/>
      <c r="M87" s="47"/>
      <c r="N87" s="55" t="str">
        <f>IFERROR(VLOOKUP(C87,'Custo Hora'!$B$3:$D$75,2,),"")</f>
        <v xml:space="preserve">TOH009 - TORNO CNC HYUNDAI 9 SKT21                </v>
      </c>
      <c r="O87" s="47"/>
      <c r="P87" s="149">
        <v>3.5</v>
      </c>
      <c r="Q87" s="149">
        <v>0.5</v>
      </c>
      <c r="R87" s="48"/>
      <c r="S87" s="47"/>
      <c r="T87" s="37"/>
      <c r="U87" s="37"/>
      <c r="V87" s="172" t="str">
        <f>IFERROR((VLOOKUP(C87,'Material Comprado'!$B$2:$E$439,4,FALSE)),"0")</f>
        <v>0</v>
      </c>
      <c r="W87" s="174">
        <f t="shared" si="9"/>
        <v>0</v>
      </c>
      <c r="X87" s="45"/>
      <c r="Y87" s="44"/>
      <c r="Z87" s="44"/>
      <c r="AA87" s="43"/>
      <c r="AB87" s="42">
        <f>IFERROR(((P87*VLOOKUP(C87,'Custo Hora'!$B$3:$D$75,3,)/60)*F87),"0")</f>
        <v>5.833333333333333</v>
      </c>
      <c r="AC87" s="42">
        <f>IFERROR(((Q87*VLOOKUP(C87,'Custo Hora'!$B$3:$D$75,3,))/(I87/J87)),"0")</f>
        <v>0.1</v>
      </c>
      <c r="AD87" s="41">
        <f t="shared" si="10"/>
        <v>5.9333333333333327</v>
      </c>
      <c r="AE87" s="40"/>
      <c r="AF87" s="39"/>
      <c r="AG87" s="38"/>
      <c r="AH87" s="37"/>
      <c r="AI87" s="36"/>
      <c r="AJ87" s="36"/>
      <c r="AK87" s="17">
        <f t="shared" si="11"/>
        <v>1.001434675119227E-2</v>
      </c>
      <c r="AL87" s="188">
        <v>78</v>
      </c>
    </row>
    <row r="88" spans="1:38" s="23" customFormat="1" ht="11.25" customHeight="1" outlineLevel="1" x14ac:dyDescent="0.2">
      <c r="A88" s="53"/>
      <c r="B88" s="146" t="s">
        <v>186</v>
      </c>
      <c r="C88" s="175" t="s">
        <v>230</v>
      </c>
      <c r="D88" s="147" t="str">
        <f>IFERROR(VLOOKUP(C88,'Material Comprado'!$B$3:$E$419,2,),"")</f>
        <v/>
      </c>
      <c r="E88" s="52" t="s">
        <v>187</v>
      </c>
      <c r="F88" s="157">
        <v>1</v>
      </c>
      <c r="G88" s="51"/>
      <c r="H88" s="148">
        <f t="shared" si="8"/>
        <v>12000</v>
      </c>
      <c r="I88" s="148">
        <f>'Dados de Entrada'!$K$9</f>
        <v>500</v>
      </c>
      <c r="J88" s="50">
        <f>'Dados de Entrada'!$M$9</f>
        <v>1</v>
      </c>
      <c r="K88" s="49"/>
      <c r="L88" s="37"/>
      <c r="M88" s="47"/>
      <c r="N88" s="55" t="str">
        <f>IFERROR(VLOOKUP(C88,'Custo Hora'!$B$3:$D$75,2,),"")</f>
        <v xml:space="preserve">F.CV.V.20.09 GERADORA CV FELLOWS VISION FS-6 - 1  </v>
      </c>
      <c r="O88" s="47"/>
      <c r="P88" s="149">
        <v>7</v>
      </c>
      <c r="Q88" s="149">
        <v>0.5</v>
      </c>
      <c r="R88" s="48"/>
      <c r="S88" s="47"/>
      <c r="T88" s="37"/>
      <c r="U88" s="37"/>
      <c r="V88" s="172" t="str">
        <f>IFERROR((VLOOKUP(C88,'Material Comprado'!$B$2:$E$439,4,FALSE)),"0")</f>
        <v>0</v>
      </c>
      <c r="W88" s="174">
        <f t="shared" si="9"/>
        <v>0</v>
      </c>
      <c r="X88" s="45"/>
      <c r="Y88" s="44"/>
      <c r="Z88" s="44"/>
      <c r="AA88" s="43"/>
      <c r="AB88" s="42">
        <f>IFERROR(((P88*VLOOKUP(C88,'Custo Hora'!$B$3:$D$75,3,)/60)*F88),"0")</f>
        <v>9.3333333333333339</v>
      </c>
      <c r="AC88" s="42">
        <f>IFERROR(((Q88*VLOOKUP(C88,'Custo Hora'!$B$3:$D$75,3,))/(I88/J88)),"0")</f>
        <v>0.08</v>
      </c>
      <c r="AD88" s="41">
        <f t="shared" si="10"/>
        <v>9.413333333333334</v>
      </c>
      <c r="AE88" s="40"/>
      <c r="AF88" s="39"/>
      <c r="AG88" s="38"/>
      <c r="AH88" s="37"/>
      <c r="AI88" s="36"/>
      <c r="AJ88" s="36"/>
      <c r="AK88" s="17">
        <f t="shared" si="11"/>
        <v>1.588792990189156E-2</v>
      </c>
      <c r="AL88" s="188">
        <v>79</v>
      </c>
    </row>
    <row r="89" spans="1:38" s="23" customFormat="1" ht="11.25" customHeight="1" outlineLevel="1" x14ac:dyDescent="0.2">
      <c r="A89" s="53"/>
      <c r="B89" s="146" t="s">
        <v>186</v>
      </c>
      <c r="C89" s="175" t="s">
        <v>33</v>
      </c>
      <c r="D89" s="147" t="str">
        <f>IFERROR(VLOOKUP(C89,'Material Comprado'!$B$3:$E$419,2,),"")</f>
        <v/>
      </c>
      <c r="E89" s="52" t="s">
        <v>187</v>
      </c>
      <c r="F89" s="157">
        <v>1</v>
      </c>
      <c r="G89" s="51"/>
      <c r="H89" s="148">
        <f t="shared" si="8"/>
        <v>12000</v>
      </c>
      <c r="I89" s="148">
        <f>'Dados de Entrada'!$K$9</f>
        <v>500</v>
      </c>
      <c r="J89" s="50">
        <f>'Dados de Entrada'!$M$9</f>
        <v>1</v>
      </c>
      <c r="K89" s="49"/>
      <c r="L89" s="37"/>
      <c r="M89" s="47"/>
      <c r="N89" s="55" t="str">
        <f>IFERROR(VLOOKUP(C89,'Custo Hora'!$B$3:$D$75,2,),"")</f>
        <v>GEC001 - G.CV.V.20.06 GERADORA</v>
      </c>
      <c r="O89" s="47"/>
      <c r="P89" s="149">
        <v>8</v>
      </c>
      <c r="Q89" s="149">
        <v>0.5</v>
      </c>
      <c r="R89" s="48"/>
      <c r="S89" s="47"/>
      <c r="T89" s="37"/>
      <c r="U89" s="37"/>
      <c r="V89" s="172" t="str">
        <f>IFERROR((VLOOKUP(C89,'Material Comprado'!$B$2:$E$439,4,FALSE)),"0")</f>
        <v>0</v>
      </c>
      <c r="W89" s="174">
        <f t="shared" si="9"/>
        <v>0</v>
      </c>
      <c r="X89" s="45"/>
      <c r="Y89" s="44"/>
      <c r="Z89" s="44"/>
      <c r="AA89" s="43"/>
      <c r="AB89" s="42">
        <f>IFERROR(((P89*VLOOKUP(C89,'Custo Hora'!$B$3:$D$75,3,)/60)*F89),"0")</f>
        <v>10.666666666666666</v>
      </c>
      <c r="AC89" s="42">
        <f>IFERROR(((Q89*VLOOKUP(C89,'Custo Hora'!$B$3:$D$75,3,))/(I89/J89)),"0")</f>
        <v>0.08</v>
      </c>
      <c r="AD89" s="41">
        <f t="shared" si="10"/>
        <v>10.746666666666666</v>
      </c>
      <c r="AE89" s="40"/>
      <c r="AF89" s="39"/>
      <c r="AG89" s="38"/>
      <c r="AH89" s="37"/>
      <c r="AI89" s="36"/>
      <c r="AJ89" s="36"/>
      <c r="AK89" s="17">
        <f t="shared" si="11"/>
        <v>1.8138344902159483E-2</v>
      </c>
      <c r="AL89" s="188">
        <v>80</v>
      </c>
    </row>
    <row r="90" spans="1:38" s="23" customFormat="1" ht="11.25" customHeight="1" outlineLevel="1" x14ac:dyDescent="0.2">
      <c r="A90" s="53"/>
      <c r="B90" s="146" t="s">
        <v>186</v>
      </c>
      <c r="C90" s="175" t="s">
        <v>40</v>
      </c>
      <c r="D90" s="147" t="str">
        <f>IFERROR(VLOOKUP(C90,'Material Comprado'!$B$3:$E$419,2,),"")</f>
        <v/>
      </c>
      <c r="E90" s="52" t="s">
        <v>187</v>
      </c>
      <c r="F90" s="157">
        <v>1</v>
      </c>
      <c r="G90" s="51"/>
      <c r="H90" s="148">
        <f t="shared" si="8"/>
        <v>12000</v>
      </c>
      <c r="I90" s="148">
        <f>'Dados de Entrada'!$K$9</f>
        <v>500</v>
      </c>
      <c r="J90" s="50">
        <f>'Dados de Entrada'!$M$9</f>
        <v>1</v>
      </c>
      <c r="K90" s="49"/>
      <c r="L90" s="37"/>
      <c r="M90" s="47"/>
      <c r="N90" s="55" t="str">
        <f>IFERROR(VLOOKUP(C90,'Custo Hora'!$B$3:$D$75,2,),"")</f>
        <v>MET001/MET002 - METROLOGIA 1 E</v>
      </c>
      <c r="O90" s="47"/>
      <c r="P90" s="149"/>
      <c r="Q90" s="149"/>
      <c r="R90" s="48"/>
      <c r="S90" s="47"/>
      <c r="T90" s="37"/>
      <c r="U90" s="37"/>
      <c r="V90" s="172" t="str">
        <f>IFERROR((VLOOKUP(C90,'Material Comprado'!$B$2:$E$439,4,FALSE)),"0")</f>
        <v>0</v>
      </c>
      <c r="W90" s="174">
        <f t="shared" si="9"/>
        <v>0</v>
      </c>
      <c r="X90" s="45"/>
      <c r="Y90" s="44"/>
      <c r="Z90" s="44"/>
      <c r="AA90" s="43"/>
      <c r="AB90" s="42">
        <f>IFERROR(((P90*VLOOKUP(C90,'Custo Hora'!$B$3:$D$75,3,)/60)*F90),"0")</f>
        <v>0</v>
      </c>
      <c r="AC90" s="42">
        <f>IFERROR(((Q90*VLOOKUP(C90,'Custo Hora'!$B$3:$D$75,3,))/(I90/J90)),"0")</f>
        <v>0</v>
      </c>
      <c r="AD90" s="41">
        <f t="shared" si="10"/>
        <v>0</v>
      </c>
      <c r="AE90" s="40"/>
      <c r="AF90" s="39"/>
      <c r="AG90" s="38"/>
      <c r="AH90" s="37"/>
      <c r="AI90" s="36"/>
      <c r="AJ90" s="36"/>
      <c r="AK90" s="17">
        <f t="shared" si="11"/>
        <v>0</v>
      </c>
      <c r="AL90" s="188">
        <v>81</v>
      </c>
    </row>
    <row r="91" spans="1:38" s="23" customFormat="1" ht="11.25" customHeight="1" outlineLevel="1" x14ac:dyDescent="0.2">
      <c r="A91" s="53"/>
      <c r="B91" s="146" t="s">
        <v>186</v>
      </c>
      <c r="C91" s="175" t="s">
        <v>235</v>
      </c>
      <c r="D91" s="147" t="str">
        <f>IFERROR(VLOOKUP(C91,'Material Comprado'!$B$3:$E$419,2,),"")</f>
        <v>ACO RED LAM 20MNCR5 Ø82,55 X 3</v>
      </c>
      <c r="E91" s="52" t="s">
        <v>179</v>
      </c>
      <c r="F91" s="157">
        <v>1</v>
      </c>
      <c r="G91" s="51"/>
      <c r="H91" s="148">
        <f t="shared" si="8"/>
        <v>12000</v>
      </c>
      <c r="I91" s="148">
        <f>'Dados de Entrada'!$K$9</f>
        <v>500</v>
      </c>
      <c r="J91" s="50">
        <f>'Dados de Entrada'!$M$9</f>
        <v>1</v>
      </c>
      <c r="K91" s="49"/>
      <c r="L91" s="37"/>
      <c r="M91" s="47"/>
      <c r="N91" s="150" t="str">
        <f>IFERROR(VLOOKUP(C91,'Custo Hora'!$B$3:$D$75,2,),"")</f>
        <v/>
      </c>
      <c r="O91" s="47"/>
      <c r="P91" s="183"/>
      <c r="Q91" s="183"/>
      <c r="R91" s="48"/>
      <c r="S91" s="47"/>
      <c r="T91" s="37"/>
      <c r="U91" s="37"/>
      <c r="V91" s="46">
        <f>IFERROR((VLOOKUP(C91,'Material Comprado'!$B$2:$E$439,4,FALSE)),"0")</f>
        <v>20.16</v>
      </c>
      <c r="W91" s="37">
        <f t="shared" si="9"/>
        <v>20.16</v>
      </c>
      <c r="X91" s="45"/>
      <c r="Y91" s="44"/>
      <c r="Z91" s="44"/>
      <c r="AA91" s="43"/>
      <c r="AB91" s="42" t="str">
        <f>IFERROR(((P91*VLOOKUP(C91,'Custo Hora'!$B$3:$D$75,3,)/60)*F91),"0")</f>
        <v>0</v>
      </c>
      <c r="AC91" s="42" t="str">
        <f>IFERROR(((Q91*VLOOKUP(C91,'Custo Hora'!$B$3:$D$75,3,))/(I91/J91)),"0")</f>
        <v>0</v>
      </c>
      <c r="AD91" s="41">
        <f t="shared" si="10"/>
        <v>20.16</v>
      </c>
      <c r="AE91" s="40"/>
      <c r="AF91" s="39"/>
      <c r="AG91" s="38"/>
      <c r="AH91" s="37"/>
      <c r="AI91" s="36"/>
      <c r="AJ91" s="36"/>
      <c r="AK91" s="17">
        <f t="shared" si="11"/>
        <v>3.4026274804051043E-2</v>
      </c>
      <c r="AL91" s="188">
        <v>82</v>
      </c>
    </row>
    <row r="92" spans="1:38" s="23" customFormat="1" ht="11.25" customHeight="1" outlineLevel="1" x14ac:dyDescent="0.2">
      <c r="A92" s="53"/>
      <c r="B92" s="146" t="s">
        <v>184</v>
      </c>
      <c r="C92" s="175" t="s">
        <v>236</v>
      </c>
      <c r="D92" s="147" t="str">
        <f>IFERROR(VLOOKUP(C92,'Material Comprado'!$B$3:$E$419,2,),"")</f>
        <v>EMBOLO DE ACIONAMENTO TF75 DEL</v>
      </c>
      <c r="E92" s="52" t="s">
        <v>179</v>
      </c>
      <c r="F92" s="157">
        <v>1</v>
      </c>
      <c r="G92" s="51"/>
      <c r="H92" s="148">
        <f t="shared" si="8"/>
        <v>12000</v>
      </c>
      <c r="I92" s="148">
        <f>'Dados de Entrada'!$K$9</f>
        <v>500</v>
      </c>
      <c r="J92" s="50">
        <f>'Dados de Entrada'!$M$9</f>
        <v>1</v>
      </c>
      <c r="K92" s="49"/>
      <c r="L92" s="37"/>
      <c r="M92" s="47"/>
      <c r="N92" s="150" t="str">
        <f>IFERROR(VLOOKUP(C92,'Custo Hora'!$B$3:$D$75,2,),"")</f>
        <v/>
      </c>
      <c r="O92" s="47"/>
      <c r="P92" s="183"/>
      <c r="Q92" s="183"/>
      <c r="R92" s="48"/>
      <c r="S92" s="47"/>
      <c r="T92" s="37"/>
      <c r="U92" s="37"/>
      <c r="V92" s="46">
        <f>IFERROR((VLOOKUP(C92,'Material Comprado'!$B$2:$E$439,4,FALSE)),"0")</f>
        <v>0</v>
      </c>
      <c r="W92" s="37">
        <f t="shared" si="9"/>
        <v>0</v>
      </c>
      <c r="X92" s="45"/>
      <c r="Y92" s="44"/>
      <c r="Z92" s="44"/>
      <c r="AA92" s="43"/>
      <c r="AB92" s="42" t="str">
        <f>IFERROR(((P92*VLOOKUP(C92,'Custo Hora'!$B$3:$D$75,3,)/60)*F92),"0")</f>
        <v>0</v>
      </c>
      <c r="AC92" s="42" t="str">
        <f>IFERROR(((Q92*VLOOKUP(C92,'Custo Hora'!$B$3:$D$75,3,))/(I92/J92)),"0")</f>
        <v>0</v>
      </c>
      <c r="AD92" s="41">
        <f t="shared" si="10"/>
        <v>0</v>
      </c>
      <c r="AE92" s="40"/>
      <c r="AF92" s="39"/>
      <c r="AG92" s="38"/>
      <c r="AH92" s="37"/>
      <c r="AI92" s="36"/>
      <c r="AJ92" s="36"/>
      <c r="AK92" s="17">
        <f t="shared" si="11"/>
        <v>0</v>
      </c>
      <c r="AL92" s="188">
        <v>83</v>
      </c>
    </row>
    <row r="93" spans="1:38" s="23" customFormat="1" ht="11.25" customHeight="1" outlineLevel="1" x14ac:dyDescent="0.2">
      <c r="A93" s="53"/>
      <c r="B93" s="146" t="s">
        <v>185</v>
      </c>
      <c r="C93" s="175" t="s">
        <v>58</v>
      </c>
      <c r="D93" s="147" t="str">
        <f>IFERROR(VLOOKUP(C93,'Material Comprado'!$B$3:$E$419,2,),"")</f>
        <v/>
      </c>
      <c r="E93" s="52" t="s">
        <v>187</v>
      </c>
      <c r="F93" s="157">
        <v>1</v>
      </c>
      <c r="G93" s="51"/>
      <c r="H93" s="148">
        <f t="shared" si="8"/>
        <v>12000</v>
      </c>
      <c r="I93" s="148">
        <f>'Dados de Entrada'!$K$9</f>
        <v>500</v>
      </c>
      <c r="J93" s="50">
        <f>'Dados de Entrada'!$M$9</f>
        <v>1</v>
      </c>
      <c r="K93" s="49"/>
      <c r="L93" s="37"/>
      <c r="M93" s="47"/>
      <c r="N93" s="55" t="str">
        <f>IFERROR(VLOOKUP(C93,'Custo Hora'!$B$3:$D$75,2,),"")</f>
        <v>APC001 - ARMAZENAMENTO PRODUTO</v>
      </c>
      <c r="O93" s="47"/>
      <c r="P93" s="149"/>
      <c r="Q93" s="149"/>
      <c r="R93" s="48"/>
      <c r="S93" s="47"/>
      <c r="T93" s="37"/>
      <c r="U93" s="37"/>
      <c r="V93" s="172" t="str">
        <f>IFERROR((VLOOKUP(C93,'Material Comprado'!$B$2:$E$439,4,FALSE)),"0")</f>
        <v>0</v>
      </c>
      <c r="W93" s="174">
        <f t="shared" si="9"/>
        <v>0</v>
      </c>
      <c r="X93" s="45"/>
      <c r="Y93" s="44"/>
      <c r="Z93" s="44"/>
      <c r="AA93" s="43"/>
      <c r="AB93" s="42">
        <f>IFERROR(((P93*VLOOKUP(C93,'Custo Hora'!$B$3:$D$75,3,)/60)*F93),"0")</f>
        <v>0</v>
      </c>
      <c r="AC93" s="42">
        <f>IFERROR(((Q93*VLOOKUP(C93,'Custo Hora'!$B$3:$D$75,3,))/(I93/J93)),"0")</f>
        <v>0</v>
      </c>
      <c r="AD93" s="41">
        <f t="shared" si="10"/>
        <v>0</v>
      </c>
      <c r="AE93" s="40"/>
      <c r="AF93" s="39"/>
      <c r="AG93" s="38"/>
      <c r="AH93" s="37"/>
      <c r="AI93" s="36"/>
      <c r="AJ93" s="36"/>
      <c r="AK93" s="17">
        <f t="shared" si="11"/>
        <v>0</v>
      </c>
      <c r="AL93" s="188">
        <v>84</v>
      </c>
    </row>
    <row r="94" spans="1:38" s="23" customFormat="1" ht="11.25" customHeight="1" outlineLevel="1" x14ac:dyDescent="0.2">
      <c r="A94" s="53"/>
      <c r="B94" s="146" t="s">
        <v>185</v>
      </c>
      <c r="C94" s="175" t="s">
        <v>223</v>
      </c>
      <c r="D94" s="147" t="str">
        <f>IFERROR(VLOOKUP(C94,'Material Comprado'!$B$3:$E$419,2,),"")</f>
        <v/>
      </c>
      <c r="E94" s="52" t="s">
        <v>187</v>
      </c>
      <c r="F94" s="157">
        <v>1</v>
      </c>
      <c r="G94" s="51"/>
      <c r="H94" s="148">
        <f t="shared" si="8"/>
        <v>12000</v>
      </c>
      <c r="I94" s="148">
        <f>'Dados de Entrada'!$K$9</f>
        <v>500</v>
      </c>
      <c r="J94" s="50">
        <f>'Dados de Entrada'!$M$9</f>
        <v>1</v>
      </c>
      <c r="K94" s="49"/>
      <c r="L94" s="37"/>
      <c r="M94" s="47"/>
      <c r="N94" s="55" t="str">
        <f>IFERROR(VLOOKUP(C94,'Custo Hora'!$B$3:$D$75,2,),"")</f>
        <v xml:space="preserve">TOH009 - TORNO CNC HYUNDAI 9 SKT21                </v>
      </c>
      <c r="O94" s="47"/>
      <c r="P94" s="149">
        <v>2.33</v>
      </c>
      <c r="Q94" s="149">
        <v>1</v>
      </c>
      <c r="R94" s="48"/>
      <c r="S94" s="47"/>
      <c r="T94" s="37"/>
      <c r="U94" s="37"/>
      <c r="V94" s="172" t="str">
        <f>IFERROR((VLOOKUP(C94,'Material Comprado'!$B$2:$E$439,4,FALSE)),"0")</f>
        <v>0</v>
      </c>
      <c r="W94" s="174">
        <f t="shared" si="9"/>
        <v>0</v>
      </c>
      <c r="X94" s="45"/>
      <c r="Y94" s="44"/>
      <c r="Z94" s="44"/>
      <c r="AA94" s="43"/>
      <c r="AB94" s="42">
        <f>IFERROR(((P94*VLOOKUP(C94,'Custo Hora'!$B$3:$D$75,3,)/60)*F94),"0")</f>
        <v>3.8833333333333333</v>
      </c>
      <c r="AC94" s="42">
        <f>IFERROR(((Q94*VLOOKUP(C94,'Custo Hora'!$B$3:$D$75,3,))/(I94/J94)),"0")</f>
        <v>0.2</v>
      </c>
      <c r="AD94" s="41">
        <f t="shared" si="10"/>
        <v>4.083333333333333</v>
      </c>
      <c r="AE94" s="40"/>
      <c r="AF94" s="39"/>
      <c r="AG94" s="38"/>
      <c r="AH94" s="37"/>
      <c r="AI94" s="36"/>
      <c r="AJ94" s="36"/>
      <c r="AK94" s="17">
        <f t="shared" si="11"/>
        <v>6.8918959383205232E-3</v>
      </c>
      <c r="AL94" s="188">
        <v>85</v>
      </c>
    </row>
    <row r="95" spans="1:38" s="23" customFormat="1" ht="11.25" customHeight="1" outlineLevel="1" x14ac:dyDescent="0.2">
      <c r="A95" s="53"/>
      <c r="B95" s="146" t="s">
        <v>185</v>
      </c>
      <c r="C95" s="175" t="s">
        <v>223</v>
      </c>
      <c r="D95" s="147" t="str">
        <f>IFERROR(VLOOKUP(C95,'Material Comprado'!$B$3:$E$419,2,),"")</f>
        <v/>
      </c>
      <c r="E95" s="52" t="s">
        <v>187</v>
      </c>
      <c r="F95" s="157">
        <v>1</v>
      </c>
      <c r="G95" s="51"/>
      <c r="H95" s="148">
        <f t="shared" si="8"/>
        <v>12000</v>
      </c>
      <c r="I95" s="148">
        <f>'Dados de Entrada'!$K$9</f>
        <v>500</v>
      </c>
      <c r="J95" s="50">
        <f>'Dados de Entrada'!$M$9</f>
        <v>1</v>
      </c>
      <c r="K95" s="49"/>
      <c r="L95" s="37"/>
      <c r="M95" s="47"/>
      <c r="N95" s="55" t="str">
        <f>IFERROR(VLOOKUP(C95,'Custo Hora'!$B$3:$D$75,2,),"")</f>
        <v xml:space="preserve">TOH009 - TORNO CNC HYUNDAI 9 SKT21                </v>
      </c>
      <c r="O95" s="47"/>
      <c r="P95" s="149">
        <v>1.5</v>
      </c>
      <c r="Q95" s="149">
        <v>0.5</v>
      </c>
      <c r="R95" s="48"/>
      <c r="S95" s="47"/>
      <c r="T95" s="37"/>
      <c r="U95" s="37"/>
      <c r="V95" s="172" t="str">
        <f>IFERROR((VLOOKUP(C95,'Material Comprado'!$B$2:$E$439,4,FALSE)),"0")</f>
        <v>0</v>
      </c>
      <c r="W95" s="174">
        <f t="shared" si="9"/>
        <v>0</v>
      </c>
      <c r="X95" s="45"/>
      <c r="Y95" s="44"/>
      <c r="Z95" s="44"/>
      <c r="AA95" s="43"/>
      <c r="AB95" s="42">
        <f>IFERROR(((P95*VLOOKUP(C95,'Custo Hora'!$B$3:$D$75,3,)/60)*F95),"0")</f>
        <v>2.5</v>
      </c>
      <c r="AC95" s="42">
        <f>IFERROR(((Q95*VLOOKUP(C95,'Custo Hora'!$B$3:$D$75,3,))/(I95/J95)),"0")</f>
        <v>0.1</v>
      </c>
      <c r="AD95" s="41">
        <f t="shared" si="10"/>
        <v>2.6</v>
      </c>
      <c r="AE95" s="40"/>
      <c r="AF95" s="39"/>
      <c r="AG95" s="38"/>
      <c r="AH95" s="37"/>
      <c r="AI95" s="36"/>
      <c r="AJ95" s="36"/>
      <c r="AK95" s="17">
        <f t="shared" si="11"/>
        <v>4.388309250522456E-3</v>
      </c>
      <c r="AL95" s="188">
        <v>86</v>
      </c>
    </row>
    <row r="96" spans="1:38" s="23" customFormat="1" ht="12" customHeight="1" outlineLevel="1" x14ac:dyDescent="0.2">
      <c r="A96" s="53"/>
      <c r="B96" s="146" t="s">
        <v>185</v>
      </c>
      <c r="C96" s="175" t="s">
        <v>25</v>
      </c>
      <c r="D96" s="147" t="str">
        <f>IFERROR(VLOOKUP(C96,'Material Comprado'!$B$3:$E$419,2,),"")</f>
        <v/>
      </c>
      <c r="E96" s="52" t="s">
        <v>187</v>
      </c>
      <c r="F96" s="157">
        <v>1</v>
      </c>
      <c r="G96" s="51"/>
      <c r="H96" s="148">
        <f t="shared" si="8"/>
        <v>12000</v>
      </c>
      <c r="I96" s="148">
        <f>'Dados de Entrada'!$K$9</f>
        <v>500</v>
      </c>
      <c r="J96" s="50">
        <f>'Dados de Entrada'!$M$9</f>
        <v>1</v>
      </c>
      <c r="K96" s="49"/>
      <c r="L96" s="37"/>
      <c r="M96" s="47"/>
      <c r="N96" s="55" t="str">
        <f>IFERROR(VLOOKUP(C96,'Custo Hora'!$B$3:$D$75,2,),"")</f>
        <v>FU0002 - FRDB.30.16 FURADEIRA</v>
      </c>
      <c r="O96" s="47"/>
      <c r="P96" s="149">
        <v>2</v>
      </c>
      <c r="Q96" s="149">
        <v>0.5</v>
      </c>
      <c r="R96" s="48"/>
      <c r="S96" s="47"/>
      <c r="T96" s="37"/>
      <c r="U96" s="37"/>
      <c r="V96" s="172" t="str">
        <f>IFERROR((VLOOKUP(C96,'Material Comprado'!$B$2:$E$439,4,FALSE)),"0")</f>
        <v>0</v>
      </c>
      <c r="W96" s="174">
        <f t="shared" si="9"/>
        <v>0</v>
      </c>
      <c r="X96" s="45"/>
      <c r="Y96" s="44"/>
      <c r="Z96" s="44"/>
      <c r="AA96" s="43"/>
      <c r="AB96" s="42">
        <f>IFERROR(((P96*VLOOKUP(C96,'Custo Hora'!$B$3:$D$75,3,)/60)*F96),"0")</f>
        <v>2</v>
      </c>
      <c r="AC96" s="42">
        <f>IFERROR(((Q96*VLOOKUP(C96,'Custo Hora'!$B$3:$D$75,3,))/(I96/J96)),"0")</f>
        <v>0.06</v>
      </c>
      <c r="AD96" s="41">
        <f t="shared" si="10"/>
        <v>2.06</v>
      </c>
      <c r="AE96" s="40"/>
      <c r="AF96" s="39"/>
      <c r="AG96" s="38"/>
      <c r="AH96" s="37"/>
      <c r="AI96" s="36"/>
      <c r="AJ96" s="36"/>
      <c r="AK96" s="17">
        <f t="shared" si="11"/>
        <v>3.4768911754139457E-3</v>
      </c>
      <c r="AL96" s="188">
        <v>87</v>
      </c>
    </row>
    <row r="97" spans="1:38" s="23" customFormat="1" ht="11.25" customHeight="1" outlineLevel="1" x14ac:dyDescent="0.2">
      <c r="A97" s="53"/>
      <c r="B97" s="146" t="s">
        <v>185</v>
      </c>
      <c r="C97" s="175" t="s">
        <v>40</v>
      </c>
      <c r="D97" s="147" t="str">
        <f>IFERROR(VLOOKUP(C97,'Material Comprado'!$B$3:$E$419,2,),"")</f>
        <v/>
      </c>
      <c r="E97" s="52" t="s">
        <v>187</v>
      </c>
      <c r="F97" s="157">
        <v>1</v>
      </c>
      <c r="G97" s="51"/>
      <c r="H97" s="148">
        <f t="shared" si="8"/>
        <v>12000</v>
      </c>
      <c r="I97" s="148">
        <f>'Dados de Entrada'!$K$9</f>
        <v>500</v>
      </c>
      <c r="J97" s="50">
        <f>'Dados de Entrada'!$M$9</f>
        <v>1</v>
      </c>
      <c r="K97" s="49"/>
      <c r="L97" s="37"/>
      <c r="M97" s="47"/>
      <c r="N97" s="55" t="str">
        <f>IFERROR(VLOOKUP(C97,'Custo Hora'!$B$3:$D$75,2,),"")</f>
        <v>MET001/MET002 - METROLOGIA 1 E</v>
      </c>
      <c r="O97" s="47"/>
      <c r="P97" s="149"/>
      <c r="Q97" s="149"/>
      <c r="R97" s="48"/>
      <c r="S97" s="47"/>
      <c r="T97" s="37"/>
      <c r="U97" s="37"/>
      <c r="V97" s="172" t="str">
        <f>IFERROR((VLOOKUP(C97,'Material Comprado'!$B$2:$E$439,4,FALSE)),"0")</f>
        <v>0</v>
      </c>
      <c r="W97" s="174">
        <f t="shared" si="9"/>
        <v>0</v>
      </c>
      <c r="X97" s="45"/>
      <c r="Y97" s="44"/>
      <c r="Z97" s="44"/>
      <c r="AA97" s="43"/>
      <c r="AB97" s="42">
        <f>IFERROR(((P97*VLOOKUP(C97,'Custo Hora'!$B$3:$D$75,3,)/60)*F97),"0")</f>
        <v>0</v>
      </c>
      <c r="AC97" s="42">
        <f>IFERROR(((Q97*VLOOKUP(C97,'Custo Hora'!$B$3:$D$75,3,))/(I97/J97)),"0")</f>
        <v>0</v>
      </c>
      <c r="AD97" s="41">
        <f t="shared" si="10"/>
        <v>0</v>
      </c>
      <c r="AE97" s="40"/>
      <c r="AF97" s="39"/>
      <c r="AG97" s="38"/>
      <c r="AH97" s="37"/>
      <c r="AI97" s="36"/>
      <c r="AJ97" s="36"/>
      <c r="AK97" s="17">
        <f t="shared" si="11"/>
        <v>0</v>
      </c>
      <c r="AL97" s="188">
        <v>88</v>
      </c>
    </row>
    <row r="98" spans="1:38" s="23" customFormat="1" ht="11.25" customHeight="1" outlineLevel="1" x14ac:dyDescent="0.2">
      <c r="A98" s="53"/>
      <c r="B98" s="146" t="s">
        <v>185</v>
      </c>
      <c r="C98" s="182" t="s">
        <v>237</v>
      </c>
      <c r="D98" s="147" t="str">
        <f>IFERROR(VLOOKUP(C98,'Material Comprado'!$B$3:$E$419,2,),"")</f>
        <v>ACO RED LAM SAE 1045 Ø41,27 X</v>
      </c>
      <c r="E98" s="52" t="s">
        <v>179</v>
      </c>
      <c r="F98" s="157">
        <v>1</v>
      </c>
      <c r="G98" s="51"/>
      <c r="H98" s="148">
        <f t="shared" si="8"/>
        <v>12000</v>
      </c>
      <c r="I98" s="148">
        <f>'Dados de Entrada'!$K$9</f>
        <v>500</v>
      </c>
      <c r="J98" s="50">
        <f>'Dados de Entrada'!$M$9</f>
        <v>1</v>
      </c>
      <c r="K98" s="49"/>
      <c r="L98" s="37"/>
      <c r="M98" s="47"/>
      <c r="N98" s="150" t="str">
        <f>IFERROR(VLOOKUP(C98,'Custo Hora'!$B$3:$D$75,2,),"")</f>
        <v/>
      </c>
      <c r="O98" s="47"/>
      <c r="P98" s="183"/>
      <c r="Q98" s="183"/>
      <c r="R98" s="48"/>
      <c r="S98" s="47"/>
      <c r="T98" s="37"/>
      <c r="U98" s="37"/>
      <c r="V98" s="46">
        <f>IFERROR((VLOOKUP(C98,'Material Comprado'!$B$2:$E$439,4,FALSE)),"0")</f>
        <v>15</v>
      </c>
      <c r="W98" s="37">
        <f t="shared" si="9"/>
        <v>15</v>
      </c>
      <c r="X98" s="45"/>
      <c r="Y98" s="44"/>
      <c r="Z98" s="44"/>
      <c r="AA98" s="43"/>
      <c r="AB98" s="42" t="str">
        <f>IFERROR(((P98*VLOOKUP(C98,'Custo Hora'!$B$3:$D$75,3,)/60)*F98),"0")</f>
        <v>0</v>
      </c>
      <c r="AC98" s="42" t="str">
        <f>IFERROR(((Q98*VLOOKUP(C98,'Custo Hora'!$B$3:$D$75,3,))/(I98/J98)),"0")</f>
        <v>0</v>
      </c>
      <c r="AD98" s="41">
        <f t="shared" si="10"/>
        <v>15</v>
      </c>
      <c r="AE98" s="40"/>
      <c r="AF98" s="39"/>
      <c r="AG98" s="38"/>
      <c r="AH98" s="37"/>
      <c r="AI98" s="36"/>
      <c r="AJ98" s="36"/>
      <c r="AK98" s="17">
        <f t="shared" si="11"/>
        <v>2.5317168753014169E-2</v>
      </c>
      <c r="AL98" s="188">
        <v>89</v>
      </c>
    </row>
    <row r="99" spans="1:38" s="23" customFormat="1" ht="11.25" customHeight="1" outlineLevel="1" x14ac:dyDescent="0.2">
      <c r="A99" s="53"/>
      <c r="B99" s="146" t="s">
        <v>184</v>
      </c>
      <c r="C99" s="175" t="s">
        <v>238</v>
      </c>
      <c r="D99" s="147" t="str">
        <f>IFERROR(VLOOKUP(C99,'Material Comprado'!$B$3:$E$419,2,),"")</f>
        <v>TAMPA LATERAL ZINCADA  - DELIV</v>
      </c>
      <c r="E99" s="52" t="s">
        <v>179</v>
      </c>
      <c r="F99" s="157">
        <v>1</v>
      </c>
      <c r="G99" s="51"/>
      <c r="H99" s="148">
        <f t="shared" si="8"/>
        <v>12000</v>
      </c>
      <c r="I99" s="148">
        <f>'Dados de Entrada'!$K$9</f>
        <v>500</v>
      </c>
      <c r="J99" s="50">
        <f>'Dados de Entrada'!$M$9</f>
        <v>1</v>
      </c>
      <c r="K99" s="49"/>
      <c r="L99" s="37"/>
      <c r="M99" s="47"/>
      <c r="N99" s="150" t="str">
        <f>IFERROR(VLOOKUP(C99,'Custo Hora'!$B$3:$D$75,2,),"")</f>
        <v/>
      </c>
      <c r="O99" s="47"/>
      <c r="P99" s="183"/>
      <c r="Q99" s="183"/>
      <c r="R99" s="48"/>
      <c r="S99" s="47"/>
      <c r="T99" s="37"/>
      <c r="U99" s="37"/>
      <c r="V99" s="46">
        <f>IFERROR((VLOOKUP(C99,'Material Comprado'!$B$2:$E$439,4,FALSE)),"0")</f>
        <v>0</v>
      </c>
      <c r="W99" s="37">
        <f t="shared" si="9"/>
        <v>0</v>
      </c>
      <c r="X99" s="45"/>
      <c r="Y99" s="44"/>
      <c r="Z99" s="44"/>
      <c r="AA99" s="43"/>
      <c r="AB99" s="42" t="str">
        <f>IFERROR(((P99*VLOOKUP(C99,'Custo Hora'!$B$3:$D$75,3,)/60)*F99),"0")</f>
        <v>0</v>
      </c>
      <c r="AC99" s="42" t="str">
        <f>IFERROR(((Q99*VLOOKUP(C99,'Custo Hora'!$B$3:$D$75,3,))/(I99/J99)),"0")</f>
        <v>0</v>
      </c>
      <c r="AD99" s="41">
        <f t="shared" si="10"/>
        <v>0</v>
      </c>
      <c r="AE99" s="40"/>
      <c r="AF99" s="39"/>
      <c r="AG99" s="38"/>
      <c r="AH99" s="37"/>
      <c r="AI99" s="36"/>
      <c r="AJ99" s="36"/>
      <c r="AK99" s="17">
        <f t="shared" si="11"/>
        <v>0</v>
      </c>
      <c r="AL99" s="188">
        <v>90</v>
      </c>
    </row>
    <row r="100" spans="1:38" s="23" customFormat="1" ht="11.25" customHeight="1" outlineLevel="1" x14ac:dyDescent="0.2">
      <c r="A100" s="53"/>
      <c r="B100" s="146" t="s">
        <v>185</v>
      </c>
      <c r="C100" s="190">
        <v>75595002001</v>
      </c>
      <c r="D100" s="147" t="str">
        <f>IFERROR(VLOOKUP(C100,'Material Comprado'!$B$3:$E$419,2,),"")</f>
        <v>CORTADO DE CHAPA  LATERAL  LAS</v>
      </c>
      <c r="E100" s="52" t="s">
        <v>179</v>
      </c>
      <c r="F100" s="157">
        <v>1</v>
      </c>
      <c r="G100" s="51"/>
      <c r="H100" s="148">
        <f t="shared" si="8"/>
        <v>12000</v>
      </c>
      <c r="I100" s="148">
        <f>'Dados de Entrada'!$K$9</f>
        <v>500</v>
      </c>
      <c r="J100" s="50">
        <f>'Dados de Entrada'!$M$9</f>
        <v>1</v>
      </c>
      <c r="K100" s="49"/>
      <c r="L100" s="37"/>
      <c r="M100" s="47"/>
      <c r="N100" s="150" t="str">
        <f>IFERROR(VLOOKUP(C100,'Custo Hora'!$B$3:$D$75,2,),"")</f>
        <v/>
      </c>
      <c r="O100" s="47"/>
      <c r="P100" s="183"/>
      <c r="Q100" s="183"/>
      <c r="R100" s="48"/>
      <c r="S100" s="47"/>
      <c r="T100" s="37"/>
      <c r="U100" s="37"/>
      <c r="V100" s="46">
        <f>IFERROR((VLOOKUP(C100,'Material Comprado'!$B$2:$E$439,4,FALSE)),"0")</f>
        <v>6.9850000000000003</v>
      </c>
      <c r="W100" s="37">
        <f t="shared" si="9"/>
        <v>6.9850000000000003</v>
      </c>
      <c r="X100" s="45"/>
      <c r="Y100" s="44"/>
      <c r="Z100" s="44"/>
      <c r="AA100" s="43"/>
      <c r="AB100" s="42" t="str">
        <f>IFERROR(((P100*VLOOKUP(C100,'Custo Hora'!$B$3:$D$75,3,)/60)*F100),"0")</f>
        <v>0</v>
      </c>
      <c r="AC100" s="42" t="str">
        <f>IFERROR(((Q100*VLOOKUP(C100,'Custo Hora'!$B$3:$D$75,3,))/(I100/J100)),"0")</f>
        <v>0</v>
      </c>
      <c r="AD100" s="41">
        <f t="shared" si="10"/>
        <v>6.9850000000000003</v>
      </c>
      <c r="AE100" s="40"/>
      <c r="AF100" s="39"/>
      <c r="AG100" s="38"/>
      <c r="AH100" s="37"/>
      <c r="AI100" s="36"/>
      <c r="AJ100" s="36"/>
      <c r="AK100" s="17">
        <f t="shared" si="11"/>
        <v>1.1789361582653597E-2</v>
      </c>
      <c r="AL100" s="188">
        <v>91</v>
      </c>
    </row>
    <row r="101" spans="1:38" s="23" customFormat="1" ht="11.25" customHeight="1" outlineLevel="1" x14ac:dyDescent="0.2">
      <c r="A101" s="53"/>
      <c r="B101" s="146" t="s">
        <v>185</v>
      </c>
      <c r="C101" s="175" t="s">
        <v>239</v>
      </c>
      <c r="D101" s="147" t="str">
        <f>IFERROR(VLOOKUP(C101,'Material Comprado'!$B$3:$E$419,2,),"")</f>
        <v>ZINCADO - TAMPA LATERAL TF 75</v>
      </c>
      <c r="E101" s="52" t="s">
        <v>181</v>
      </c>
      <c r="F101" s="157">
        <v>1</v>
      </c>
      <c r="G101" s="51"/>
      <c r="H101" s="148">
        <f t="shared" si="8"/>
        <v>12000</v>
      </c>
      <c r="I101" s="148">
        <f>'Dados de Entrada'!$K$9</f>
        <v>500</v>
      </c>
      <c r="J101" s="50">
        <f>'Dados de Entrada'!$M$9</f>
        <v>1</v>
      </c>
      <c r="K101" s="49"/>
      <c r="L101" s="37"/>
      <c r="M101" s="47"/>
      <c r="N101" s="150" t="str">
        <f>IFERROR(VLOOKUP(C101,'Custo Hora'!$B$3:$D$75,2,),"")</f>
        <v/>
      </c>
      <c r="O101" s="47"/>
      <c r="P101" s="183"/>
      <c r="Q101" s="183"/>
      <c r="R101" s="48"/>
      <c r="S101" s="47"/>
      <c r="T101" s="37"/>
      <c r="U101" s="37"/>
      <c r="V101" s="46">
        <f>IFERROR((VLOOKUP(C101,'Material Comprado'!$B$2:$E$439,4,FALSE)),"0")</f>
        <v>2</v>
      </c>
      <c r="W101" s="37">
        <f t="shared" si="9"/>
        <v>2</v>
      </c>
      <c r="X101" s="45"/>
      <c r="Y101" s="44"/>
      <c r="Z101" s="44"/>
      <c r="AA101" s="43"/>
      <c r="AB101" s="42" t="str">
        <f>IFERROR(((P101*VLOOKUP(C101,'Custo Hora'!$B$3:$D$75,3,)/60)*F101),"0")</f>
        <v>0</v>
      </c>
      <c r="AC101" s="42" t="str">
        <f>IFERROR(((Q101*VLOOKUP(C101,'Custo Hora'!$B$3:$D$75,3,))/(I101/J101)),"0")</f>
        <v>0</v>
      </c>
      <c r="AD101" s="41">
        <f t="shared" si="10"/>
        <v>2</v>
      </c>
      <c r="AE101" s="40"/>
      <c r="AF101" s="39"/>
      <c r="AG101" s="38"/>
      <c r="AH101" s="37"/>
      <c r="AI101" s="36"/>
      <c r="AJ101" s="36"/>
      <c r="AK101" s="17">
        <f t="shared" si="11"/>
        <v>3.3756225004018892E-3</v>
      </c>
      <c r="AL101" s="188">
        <v>92</v>
      </c>
    </row>
    <row r="102" spans="1:38" s="23" customFormat="1" ht="11.25" customHeight="1" outlineLevel="1" x14ac:dyDescent="0.2">
      <c r="A102" s="53"/>
      <c r="B102" s="146" t="s">
        <v>184</v>
      </c>
      <c r="C102" s="190" t="s">
        <v>240</v>
      </c>
      <c r="D102" s="147" t="str">
        <f>IFERROR(VLOOKUP(C102,'Material Comprado'!$B$3:$E$419,2,),"")</f>
        <v>KIT TOMADA  DE FORCA T75 DELIV</v>
      </c>
      <c r="E102" s="52" t="s">
        <v>179</v>
      </c>
      <c r="F102" s="157">
        <v>1</v>
      </c>
      <c r="G102" s="51"/>
      <c r="H102" s="148">
        <f t="shared" si="8"/>
        <v>12000</v>
      </c>
      <c r="I102" s="148">
        <f>'Dados de Entrada'!$K$9</f>
        <v>500</v>
      </c>
      <c r="J102" s="50">
        <f>'Dados de Entrada'!$M$9</f>
        <v>1</v>
      </c>
      <c r="K102" s="49"/>
      <c r="L102" s="37"/>
      <c r="M102" s="47"/>
      <c r="N102" s="150" t="str">
        <f>IFERROR(VLOOKUP(C102,'Custo Hora'!$B$3:$D$75,2,),"")</f>
        <v/>
      </c>
      <c r="O102" s="47"/>
      <c r="P102" s="183"/>
      <c r="Q102" s="183"/>
      <c r="R102" s="48"/>
      <c r="S102" s="47"/>
      <c r="T102" s="37"/>
      <c r="U102" s="37"/>
      <c r="V102" s="46">
        <f>IFERROR((VLOOKUP(C102,'Material Comprado'!$B$2:$E$439,4,FALSE)),"0")</f>
        <v>0</v>
      </c>
      <c r="W102" s="37">
        <f t="shared" si="9"/>
        <v>0</v>
      </c>
      <c r="X102" s="45"/>
      <c r="Y102" s="44"/>
      <c r="Z102" s="44"/>
      <c r="AA102" s="43"/>
      <c r="AB102" s="42" t="str">
        <f>IFERROR(((P102*VLOOKUP(C102,'Custo Hora'!$B$3:$D$75,3,)/60)*F102),"0")</f>
        <v>0</v>
      </c>
      <c r="AC102" s="42" t="str">
        <f>IFERROR(((Q102*VLOOKUP(C102,'Custo Hora'!$B$3:$D$75,3,))/(I102/J102)),"0")</f>
        <v>0</v>
      </c>
      <c r="AD102" s="41">
        <f t="shared" si="10"/>
        <v>0</v>
      </c>
      <c r="AE102" s="40"/>
      <c r="AF102" s="39"/>
      <c r="AG102" s="38"/>
      <c r="AH102" s="37"/>
      <c r="AI102" s="36"/>
      <c r="AJ102" s="36"/>
      <c r="AK102" s="17">
        <f t="shared" si="11"/>
        <v>0</v>
      </c>
      <c r="AL102" s="188">
        <v>93</v>
      </c>
    </row>
    <row r="103" spans="1:38" s="23" customFormat="1" ht="11.25" customHeight="1" outlineLevel="1" x14ac:dyDescent="0.2">
      <c r="A103" s="53"/>
      <c r="B103" s="146" t="s">
        <v>185</v>
      </c>
      <c r="C103" s="189">
        <v>10795</v>
      </c>
      <c r="D103" s="147" t="str">
        <f>IFERROR(VLOOKUP(C103,'Material Comprado'!$B$3:$E$419,2,),"")</f>
        <v>ETIQUETAS TERMICAS ADESIVA COU</v>
      </c>
      <c r="E103" s="52" t="s">
        <v>179</v>
      </c>
      <c r="F103" s="157">
        <v>10</v>
      </c>
      <c r="G103" s="51"/>
      <c r="H103" s="148">
        <f t="shared" si="8"/>
        <v>12000</v>
      </c>
      <c r="I103" s="148">
        <f>'Dados de Entrada'!$K$9</f>
        <v>500</v>
      </c>
      <c r="J103" s="50">
        <f>'Dados de Entrada'!$M$9</f>
        <v>1</v>
      </c>
      <c r="K103" s="49"/>
      <c r="L103" s="37"/>
      <c r="M103" s="47"/>
      <c r="N103" s="150" t="str">
        <f>IFERROR(VLOOKUP(C103,'Custo Hora'!$B$3:$D$75,2,),"")</f>
        <v/>
      </c>
      <c r="O103" s="47"/>
      <c r="P103" s="183"/>
      <c r="Q103" s="183"/>
      <c r="R103" s="48"/>
      <c r="S103" s="47"/>
      <c r="T103" s="37"/>
      <c r="U103" s="37"/>
      <c r="V103" s="46">
        <f>IFERROR((VLOOKUP(C103,'Material Comprado'!$B$2:$E$439,4,FALSE)),"0")</f>
        <v>4.8000000000000001E-2</v>
      </c>
      <c r="W103" s="37">
        <f t="shared" si="9"/>
        <v>0.48</v>
      </c>
      <c r="X103" s="45"/>
      <c r="Y103" s="44"/>
      <c r="Z103" s="44"/>
      <c r="AA103" s="43"/>
      <c r="AB103" s="42" t="str">
        <f>IFERROR(((P103*VLOOKUP(C103,'Custo Hora'!$B$3:$D$75,3,)/60)*F103),"0")</f>
        <v>0</v>
      </c>
      <c r="AC103" s="42" t="str">
        <f>IFERROR(((Q103*VLOOKUP(C103,'Custo Hora'!$B$3:$D$75,3,))/(I103/J103)),"0")</f>
        <v>0</v>
      </c>
      <c r="AD103" s="41">
        <f t="shared" si="10"/>
        <v>0.48</v>
      </c>
      <c r="AE103" s="40"/>
      <c r="AF103" s="39"/>
      <c r="AG103" s="38"/>
      <c r="AH103" s="37"/>
      <c r="AI103" s="36"/>
      <c r="AJ103" s="36"/>
      <c r="AK103" s="17">
        <f t="shared" si="11"/>
        <v>8.1014940009645339E-4</v>
      </c>
      <c r="AL103" s="188">
        <v>94</v>
      </c>
    </row>
    <row r="104" spans="1:38" s="23" customFormat="1" ht="11.25" customHeight="1" outlineLevel="1" x14ac:dyDescent="0.2">
      <c r="A104" s="53"/>
      <c r="B104" s="146" t="s">
        <v>185</v>
      </c>
      <c r="C104" s="189">
        <v>10797</v>
      </c>
      <c r="D104" s="147" t="str">
        <f>IFERROR(VLOOKUP(C104,'Material Comprado'!$B$3:$E$419,2,),"")</f>
        <v>RIBBON CERA 110X450 PREMIUM G5</v>
      </c>
      <c r="E104" s="52" t="s">
        <v>181</v>
      </c>
      <c r="F104" s="157">
        <v>1.1000000000000001E-3</v>
      </c>
      <c r="G104" s="51"/>
      <c r="H104" s="148">
        <f t="shared" si="8"/>
        <v>12000</v>
      </c>
      <c r="I104" s="148">
        <f>'Dados de Entrada'!$K$9</f>
        <v>500</v>
      </c>
      <c r="J104" s="50">
        <f>'Dados de Entrada'!$M$9</f>
        <v>1</v>
      </c>
      <c r="K104" s="49"/>
      <c r="L104" s="37"/>
      <c r="M104" s="47"/>
      <c r="N104" s="150" t="str">
        <f>IFERROR(VLOOKUP(C104,'Custo Hora'!$B$3:$D$75,2,),"")</f>
        <v/>
      </c>
      <c r="O104" s="47"/>
      <c r="P104" s="183"/>
      <c r="Q104" s="183"/>
      <c r="R104" s="48"/>
      <c r="S104" s="47"/>
      <c r="T104" s="37"/>
      <c r="U104" s="37"/>
      <c r="V104" s="46">
        <f>IFERROR((VLOOKUP(C104,'Material Comprado'!$B$2:$E$439,4,FALSE)),"0")</f>
        <v>21.344999999999999</v>
      </c>
      <c r="W104" s="37">
        <f t="shared" si="9"/>
        <v>2.34795E-2</v>
      </c>
      <c r="X104" s="45"/>
      <c r="Y104" s="44"/>
      <c r="Z104" s="44"/>
      <c r="AA104" s="43"/>
      <c r="AB104" s="42" t="str">
        <f>IFERROR(((P104*VLOOKUP(C104,'Custo Hora'!$B$3:$D$75,3,)/60)*F104),"0")</f>
        <v>0</v>
      </c>
      <c r="AC104" s="42" t="str">
        <f>IFERROR(((Q104*VLOOKUP(C104,'Custo Hora'!$B$3:$D$75,3,))/(I104/J104)),"0")</f>
        <v>0</v>
      </c>
      <c r="AD104" s="41">
        <f t="shared" si="10"/>
        <v>2.34795E-2</v>
      </c>
      <c r="AE104" s="40"/>
      <c r="AF104" s="39"/>
      <c r="AG104" s="38"/>
      <c r="AH104" s="37"/>
      <c r="AI104" s="36"/>
      <c r="AJ104" s="36"/>
      <c r="AK104" s="17">
        <f t="shared" si="11"/>
        <v>3.9628964249093075E-5</v>
      </c>
      <c r="AL104" s="188">
        <v>95</v>
      </c>
    </row>
    <row r="105" spans="1:38" s="23" customFormat="1" ht="11.25" customHeight="1" outlineLevel="1" x14ac:dyDescent="0.2">
      <c r="A105" s="53"/>
      <c r="B105" s="146" t="s">
        <v>185</v>
      </c>
      <c r="C105" s="189">
        <v>14970</v>
      </c>
      <c r="D105" s="147" t="str">
        <f>IFERROR(VLOOKUP(C105,'Material Comprado'!$B$3:$E$419,2,),"")</f>
        <v>GRAXA SABAO DE LITIO NLGI2 1KG</v>
      </c>
      <c r="E105" s="52" t="s">
        <v>180</v>
      </c>
      <c r="F105" s="157">
        <v>3.0000000000000001E-3</v>
      </c>
      <c r="G105" s="51"/>
      <c r="H105" s="148">
        <f t="shared" si="8"/>
        <v>12000</v>
      </c>
      <c r="I105" s="148">
        <f>'Dados de Entrada'!$K$9</f>
        <v>500</v>
      </c>
      <c r="J105" s="50">
        <f>'Dados de Entrada'!$M$9</f>
        <v>1</v>
      </c>
      <c r="K105" s="49"/>
      <c r="L105" s="37"/>
      <c r="M105" s="47"/>
      <c r="N105" s="150" t="str">
        <f>IFERROR(VLOOKUP(C105,'Custo Hora'!$B$3:$D$75,2,),"")</f>
        <v/>
      </c>
      <c r="O105" s="47"/>
      <c r="P105" s="183"/>
      <c r="Q105" s="183"/>
      <c r="R105" s="48"/>
      <c r="S105" s="47"/>
      <c r="T105" s="37"/>
      <c r="U105" s="37"/>
      <c r="V105" s="46">
        <f>IFERROR((VLOOKUP(C105,'Material Comprado'!$B$2:$E$439,4,FALSE)),"0")</f>
        <v>29.425999999999998</v>
      </c>
      <c r="W105" s="37">
        <f t="shared" si="9"/>
        <v>8.8277999999999995E-2</v>
      </c>
      <c r="X105" s="45"/>
      <c r="Y105" s="44"/>
      <c r="Z105" s="44"/>
      <c r="AA105" s="43"/>
      <c r="AB105" s="42" t="str">
        <f>IFERROR(((P105*VLOOKUP(C105,'Custo Hora'!$B$3:$D$75,3,)/60)*F105),"0")</f>
        <v>0</v>
      </c>
      <c r="AC105" s="42" t="str">
        <f>IFERROR(((Q105*VLOOKUP(C105,'Custo Hora'!$B$3:$D$75,3,))/(I105/J105)),"0")</f>
        <v>0</v>
      </c>
      <c r="AD105" s="41">
        <f t="shared" si="10"/>
        <v>8.8277999999999995E-2</v>
      </c>
      <c r="AE105" s="40"/>
      <c r="AF105" s="39"/>
      <c r="AG105" s="38"/>
      <c r="AH105" s="37"/>
      <c r="AI105" s="36"/>
      <c r="AJ105" s="36"/>
      <c r="AK105" s="17">
        <f t="shared" si="11"/>
        <v>1.4899660154523898E-4</v>
      </c>
      <c r="AL105" s="188">
        <v>96</v>
      </c>
    </row>
    <row r="106" spans="1:38" s="23" customFormat="1" ht="11.25" customHeight="1" outlineLevel="1" x14ac:dyDescent="0.2">
      <c r="A106" s="53"/>
      <c r="B106" s="146" t="s">
        <v>185</v>
      </c>
      <c r="C106" s="189">
        <v>1513</v>
      </c>
      <c r="D106" s="147" t="str">
        <f>IFERROR(VLOOKUP(C106,'Material Comprado'!$B$3:$E$419,2,),"")</f>
        <v>PAPELAO ONDULADO 60 CM</v>
      </c>
      <c r="E106" s="52" t="s">
        <v>180</v>
      </c>
      <c r="F106" s="157">
        <v>0.3</v>
      </c>
      <c r="G106" s="51"/>
      <c r="H106" s="148">
        <f t="shared" si="8"/>
        <v>12000</v>
      </c>
      <c r="I106" s="148">
        <f>'Dados de Entrada'!$K$9</f>
        <v>500</v>
      </c>
      <c r="J106" s="50">
        <f>'Dados de Entrada'!$M$9</f>
        <v>1</v>
      </c>
      <c r="K106" s="49"/>
      <c r="L106" s="37"/>
      <c r="M106" s="47"/>
      <c r="N106" s="150" t="str">
        <f>IFERROR(VLOOKUP(C106,'Custo Hora'!$B$3:$D$75,2,),"")</f>
        <v/>
      </c>
      <c r="O106" s="47"/>
      <c r="P106" s="145"/>
      <c r="Q106" s="183"/>
      <c r="R106" s="48"/>
      <c r="S106" s="47"/>
      <c r="T106" s="37"/>
      <c r="U106" s="37"/>
      <c r="V106" s="46">
        <f>IFERROR((VLOOKUP(C106,'Material Comprado'!$B$2:$E$439,4,FALSE)),"0")</f>
        <v>6.0019999999999998</v>
      </c>
      <c r="W106" s="37">
        <f t="shared" si="9"/>
        <v>1.8005999999999998</v>
      </c>
      <c r="X106" s="45"/>
      <c r="Y106" s="44"/>
      <c r="Z106" s="44"/>
      <c r="AA106" s="43"/>
      <c r="AB106" s="42" t="str">
        <f>IFERROR(((P106*VLOOKUP(C106,'Custo Hora'!$B$3:$D$75,3,)/60)*F106),"0")</f>
        <v>0</v>
      </c>
      <c r="AC106" s="42" t="str">
        <f>IFERROR(((Q106*VLOOKUP(C106,'Custo Hora'!$B$3:$D$75,3,))/(I106/J106)),"0")</f>
        <v>0</v>
      </c>
      <c r="AD106" s="41">
        <f t="shared" si="10"/>
        <v>1.8005999999999998</v>
      </c>
      <c r="AE106" s="40"/>
      <c r="AF106" s="39"/>
      <c r="AG106" s="38"/>
      <c r="AH106" s="37"/>
      <c r="AI106" s="36"/>
      <c r="AJ106" s="36"/>
      <c r="AK106" s="17">
        <f t="shared" si="11"/>
        <v>3.0390729371118203E-3</v>
      </c>
      <c r="AL106" s="188">
        <v>97</v>
      </c>
    </row>
    <row r="107" spans="1:38" s="23" customFormat="1" ht="11.25" customHeight="1" outlineLevel="1" x14ac:dyDescent="0.2">
      <c r="A107" s="53"/>
      <c r="B107" s="146" t="s">
        <v>185</v>
      </c>
      <c r="C107" s="189">
        <v>16536</v>
      </c>
      <c r="D107" s="147" t="str">
        <f>IFERROR(VLOOKUP(C107,'Material Comprado'!$B$3:$E$419,2,),"")</f>
        <v>THINNER GOL 7300 5 LT</v>
      </c>
      <c r="E107" s="52" t="s">
        <v>181</v>
      </c>
      <c r="F107" s="157">
        <v>2.5000000000000001E-3</v>
      </c>
      <c r="G107" s="51"/>
      <c r="H107" s="148">
        <f t="shared" ref="H107:H138" si="12">I107*12*2</f>
        <v>12000</v>
      </c>
      <c r="I107" s="148">
        <f>'Dados de Entrada'!$K$9</f>
        <v>500</v>
      </c>
      <c r="J107" s="50">
        <f>'Dados de Entrada'!$M$9</f>
        <v>1</v>
      </c>
      <c r="K107" s="49"/>
      <c r="L107" s="37"/>
      <c r="M107" s="47"/>
      <c r="N107" s="150" t="str">
        <f>IFERROR(VLOOKUP(C107,'Custo Hora'!$B$3:$D$75,2,),"")</f>
        <v/>
      </c>
      <c r="O107" s="47"/>
      <c r="P107" s="183"/>
      <c r="Q107" s="183"/>
      <c r="R107" s="48"/>
      <c r="S107" s="47"/>
      <c r="T107" s="37"/>
      <c r="U107" s="37"/>
      <c r="V107" s="46">
        <f>IFERROR((VLOOKUP(C107,'Material Comprado'!$B$2:$E$439,4,FALSE)),"0")</f>
        <v>49.003</v>
      </c>
      <c r="W107" s="37">
        <f t="shared" ref="W107:W138" si="13">((((T107*$C$3)*(1+$C$5))+((U107*$C$4)*(1+$C$6))+V107)*F107)</f>
        <v>0.12250750000000001</v>
      </c>
      <c r="X107" s="45"/>
      <c r="Y107" s="44"/>
      <c r="Z107" s="44"/>
      <c r="AA107" s="43"/>
      <c r="AB107" s="42" t="str">
        <f>IFERROR(((P107*VLOOKUP(C107,'Custo Hora'!$B$3:$D$75,3,)/60)*F107),"0")</f>
        <v>0</v>
      </c>
      <c r="AC107" s="42" t="str">
        <f>IFERROR(((Q107*VLOOKUP(C107,'Custo Hora'!$B$3:$D$75,3,))/(I107/J107)),"0")</f>
        <v>0</v>
      </c>
      <c r="AD107" s="41">
        <f t="shared" ref="AD107:AD138" si="14">W107+AB107+AC107+X107</f>
        <v>0.12250750000000001</v>
      </c>
      <c r="AE107" s="40"/>
      <c r="AF107" s="39"/>
      <c r="AG107" s="38"/>
      <c r="AH107" s="37"/>
      <c r="AI107" s="36"/>
      <c r="AJ107" s="36"/>
      <c r="AK107" s="17">
        <f t="shared" ref="AK107:AK138" si="15">AD107/$AD$147</f>
        <v>2.0676953673399222E-4</v>
      </c>
      <c r="AL107" s="188">
        <v>98</v>
      </c>
    </row>
    <row r="108" spans="1:38" s="23" customFormat="1" ht="11.25" customHeight="1" outlineLevel="1" x14ac:dyDescent="0.2">
      <c r="A108" s="53"/>
      <c r="B108" s="146" t="s">
        <v>185</v>
      </c>
      <c r="C108" s="189">
        <v>16816</v>
      </c>
      <c r="D108" s="147" t="str">
        <f>IFERROR(VLOOKUP(C108,'Material Comprado'!$B$3:$E$419,2,),"")</f>
        <v>THINNER RECICLAVEL DE 5LITRO</v>
      </c>
      <c r="E108" s="52" t="s">
        <v>182</v>
      </c>
      <c r="F108" s="157">
        <v>2.5000000000000001E-2</v>
      </c>
      <c r="G108" s="51"/>
      <c r="H108" s="148">
        <f t="shared" si="12"/>
        <v>12000</v>
      </c>
      <c r="I108" s="148">
        <f>'Dados de Entrada'!$K$9</f>
        <v>500</v>
      </c>
      <c r="J108" s="50">
        <f>'Dados de Entrada'!$M$9</f>
        <v>1</v>
      </c>
      <c r="K108" s="49"/>
      <c r="L108" s="37"/>
      <c r="M108" s="47"/>
      <c r="N108" s="150" t="str">
        <f>IFERROR(VLOOKUP(C108,'Custo Hora'!$B$3:$D$75,2,),"")</f>
        <v/>
      </c>
      <c r="O108" s="47"/>
      <c r="P108" s="183"/>
      <c r="Q108" s="183"/>
      <c r="R108" s="48"/>
      <c r="S108" s="47"/>
      <c r="T108" s="37"/>
      <c r="U108" s="37"/>
      <c r="V108" s="46">
        <f>IFERROR((VLOOKUP(C108,'Material Comprado'!$B$2:$E$439,4,FALSE)),"0")</f>
        <v>28.556000000000001</v>
      </c>
      <c r="W108" s="37">
        <f t="shared" si="13"/>
        <v>0.71390000000000009</v>
      </c>
      <c r="X108" s="45"/>
      <c r="Y108" s="44"/>
      <c r="Z108" s="44"/>
      <c r="AA108" s="43"/>
      <c r="AB108" s="42" t="str">
        <f>IFERROR(((P108*VLOOKUP(C108,'Custo Hora'!$B$3:$D$75,3,)/60)*F108),"0")</f>
        <v>0</v>
      </c>
      <c r="AC108" s="42" t="str">
        <f>IFERROR(((Q108*VLOOKUP(C108,'Custo Hora'!$B$3:$D$75,3,))/(I108/J108)),"0")</f>
        <v>0</v>
      </c>
      <c r="AD108" s="41">
        <f t="shared" si="14"/>
        <v>0.71390000000000009</v>
      </c>
      <c r="AE108" s="40"/>
      <c r="AF108" s="39"/>
      <c r="AG108" s="38"/>
      <c r="AH108" s="37"/>
      <c r="AI108" s="36"/>
      <c r="AJ108" s="36"/>
      <c r="AK108" s="17">
        <f t="shared" si="15"/>
        <v>1.2049284515184544E-3</v>
      </c>
      <c r="AL108" s="188">
        <v>99</v>
      </c>
    </row>
    <row r="109" spans="1:38" s="23" customFormat="1" ht="11.25" customHeight="1" outlineLevel="1" x14ac:dyDescent="0.2">
      <c r="A109" s="53"/>
      <c r="B109" s="146" t="s">
        <v>185</v>
      </c>
      <c r="C109" s="189">
        <v>70601008008</v>
      </c>
      <c r="D109" s="147" t="str">
        <f>IFERROR(VLOOKUP(C109,'Material Comprado'!$B$3:$E$419,2,),"")</f>
        <v>GUARNICAO DA BASE TF70 (0,397)</v>
      </c>
      <c r="E109" s="52" t="s">
        <v>179</v>
      </c>
      <c r="F109" s="157">
        <v>1</v>
      </c>
      <c r="G109" s="51"/>
      <c r="H109" s="148">
        <f t="shared" si="12"/>
        <v>12000</v>
      </c>
      <c r="I109" s="148">
        <f>'Dados de Entrada'!$K$9</f>
        <v>500</v>
      </c>
      <c r="J109" s="50">
        <f>'Dados de Entrada'!$M$9</f>
        <v>1</v>
      </c>
      <c r="K109" s="49"/>
      <c r="L109" s="37"/>
      <c r="M109" s="47"/>
      <c r="N109" s="150" t="str">
        <f>IFERROR(VLOOKUP(C109,'Custo Hora'!$B$3:$D$75,2,),"")</f>
        <v/>
      </c>
      <c r="O109" s="47"/>
      <c r="P109" s="183"/>
      <c r="Q109" s="183"/>
      <c r="R109" s="48"/>
      <c r="S109" s="47"/>
      <c r="T109" s="37"/>
      <c r="U109" s="37"/>
      <c r="V109" s="46">
        <f>IFERROR((VLOOKUP(C109,'Material Comprado'!$B$2:$E$439,4,FALSE)),"0")</f>
        <v>1.7849999999999999</v>
      </c>
      <c r="W109" s="37">
        <f t="shared" si="13"/>
        <v>1.7849999999999999</v>
      </c>
      <c r="X109" s="45"/>
      <c r="Y109" s="44"/>
      <c r="Z109" s="44"/>
      <c r="AA109" s="43"/>
      <c r="AB109" s="42" t="str">
        <f>IFERROR(((P109*VLOOKUP(C109,'Custo Hora'!$B$3:$D$75,3,)/60)*F109),"0")</f>
        <v>0</v>
      </c>
      <c r="AC109" s="42" t="str">
        <f>IFERROR(((Q109*VLOOKUP(C109,'Custo Hora'!$B$3:$D$75,3,))/(I109/J109)),"0")</f>
        <v>0</v>
      </c>
      <c r="AD109" s="41">
        <f t="shared" si="14"/>
        <v>1.7849999999999999</v>
      </c>
      <c r="AE109" s="40"/>
      <c r="AF109" s="39"/>
      <c r="AG109" s="38"/>
      <c r="AH109" s="37"/>
      <c r="AI109" s="36"/>
      <c r="AJ109" s="36"/>
      <c r="AK109" s="17">
        <f t="shared" si="15"/>
        <v>3.012743081608686E-3</v>
      </c>
      <c r="AL109" s="188">
        <v>100</v>
      </c>
    </row>
    <row r="110" spans="1:38" s="23" customFormat="1" ht="11.25" customHeight="1" outlineLevel="1" x14ac:dyDescent="0.2">
      <c r="A110" s="53"/>
      <c r="B110" s="146" t="s">
        <v>185</v>
      </c>
      <c r="C110" s="189">
        <v>8890021001</v>
      </c>
      <c r="D110" s="147" t="str">
        <f>IFERROR(VLOOKUP(C110,'Material Comprado'!$B$3:$E$419,2,),"")</f>
        <v>SACO PLASTICO PE 25 X 36 X 0,2</v>
      </c>
      <c r="E110" s="52" t="s">
        <v>181</v>
      </c>
      <c r="F110" s="157">
        <v>1</v>
      </c>
      <c r="G110" s="51"/>
      <c r="H110" s="148">
        <f t="shared" si="12"/>
        <v>12000</v>
      </c>
      <c r="I110" s="148">
        <f>'Dados de Entrada'!$K$9</f>
        <v>500</v>
      </c>
      <c r="J110" s="50">
        <f>'Dados de Entrada'!$M$9</f>
        <v>1</v>
      </c>
      <c r="K110" s="49"/>
      <c r="L110" s="37"/>
      <c r="M110" s="47"/>
      <c r="N110" s="150" t="str">
        <f>IFERROR(VLOOKUP(C110,'Custo Hora'!$B$3:$D$75,2,),"")</f>
        <v/>
      </c>
      <c r="O110" s="47"/>
      <c r="P110" s="183"/>
      <c r="Q110" s="183"/>
      <c r="R110" s="48"/>
      <c r="S110" s="47"/>
      <c r="T110" s="37"/>
      <c r="U110" s="37"/>
      <c r="V110" s="46">
        <f>IFERROR((VLOOKUP(C110,'Material Comprado'!$B$2:$E$439,4,FALSE)),"0")</f>
        <v>0.33</v>
      </c>
      <c r="W110" s="37">
        <f t="shared" si="13"/>
        <v>0.33</v>
      </c>
      <c r="X110" s="45"/>
      <c r="Y110" s="44"/>
      <c r="Z110" s="44"/>
      <c r="AA110" s="43"/>
      <c r="AB110" s="42" t="str">
        <f>IFERROR(((P110*VLOOKUP(C110,'Custo Hora'!$B$3:$D$75,3,)/60)*F110),"0")</f>
        <v>0</v>
      </c>
      <c r="AC110" s="42" t="str">
        <f>IFERROR(((Q110*VLOOKUP(C110,'Custo Hora'!$B$3:$D$75,3,))/(I110/J110)),"0")</f>
        <v>0</v>
      </c>
      <c r="AD110" s="41">
        <f t="shared" si="14"/>
        <v>0.33</v>
      </c>
      <c r="AE110" s="40"/>
      <c r="AF110" s="39"/>
      <c r="AG110" s="38"/>
      <c r="AH110" s="37"/>
      <c r="AI110" s="36"/>
      <c r="AJ110" s="36"/>
      <c r="AK110" s="17">
        <f t="shared" si="15"/>
        <v>5.5697771256631168E-4</v>
      </c>
      <c r="AL110" s="188">
        <v>101</v>
      </c>
    </row>
    <row r="111" spans="1:38" s="23" customFormat="1" ht="11.25" customHeight="1" outlineLevel="1" x14ac:dyDescent="0.2">
      <c r="A111" s="53"/>
      <c r="B111" s="146" t="s">
        <v>185</v>
      </c>
      <c r="C111" s="189">
        <v>8890021002</v>
      </c>
      <c r="D111" s="147" t="str">
        <f>IFERROR(VLOOKUP(C111,'Material Comprado'!$B$3:$E$419,2,),"")</f>
        <v>SACO PLASTICO PE 19X30X0,3</v>
      </c>
      <c r="E111" s="52" t="s">
        <v>181</v>
      </c>
      <c r="F111" s="157">
        <v>1</v>
      </c>
      <c r="G111" s="51"/>
      <c r="H111" s="148">
        <f t="shared" si="12"/>
        <v>12000</v>
      </c>
      <c r="I111" s="148">
        <f>'Dados de Entrada'!$K$9</f>
        <v>500</v>
      </c>
      <c r="J111" s="50">
        <f>'Dados de Entrada'!$M$9</f>
        <v>1</v>
      </c>
      <c r="K111" s="49"/>
      <c r="L111" s="37"/>
      <c r="M111" s="47"/>
      <c r="N111" s="150" t="str">
        <f>IFERROR(VLOOKUP(C111,'Custo Hora'!$B$3:$D$75,2,),"")</f>
        <v/>
      </c>
      <c r="O111" s="47"/>
      <c r="P111" s="183"/>
      <c r="Q111" s="183"/>
      <c r="R111" s="48"/>
      <c r="S111" s="47"/>
      <c r="T111" s="37"/>
      <c r="U111" s="37"/>
      <c r="V111" s="46">
        <f>IFERROR((VLOOKUP(C111,'Material Comprado'!$B$2:$E$439,4,FALSE)),"0")</f>
        <v>0.39100000000000001</v>
      </c>
      <c r="W111" s="37">
        <f t="shared" si="13"/>
        <v>0.39100000000000001</v>
      </c>
      <c r="X111" s="45"/>
      <c r="Y111" s="44"/>
      <c r="Z111" s="44"/>
      <c r="AA111" s="43"/>
      <c r="AB111" s="42" t="str">
        <f>IFERROR(((P111*VLOOKUP(C111,'Custo Hora'!$B$3:$D$75,3,)/60)*F111),"0")</f>
        <v>0</v>
      </c>
      <c r="AC111" s="42" t="str">
        <f>IFERROR(((Q111*VLOOKUP(C111,'Custo Hora'!$B$3:$D$75,3,))/(I111/J111)),"0")</f>
        <v>0</v>
      </c>
      <c r="AD111" s="41">
        <f t="shared" si="14"/>
        <v>0.39100000000000001</v>
      </c>
      <c r="AE111" s="40"/>
      <c r="AF111" s="39"/>
      <c r="AG111" s="38"/>
      <c r="AH111" s="37"/>
      <c r="AI111" s="36"/>
      <c r="AJ111" s="36"/>
      <c r="AK111" s="17">
        <f t="shared" si="15"/>
        <v>6.5993419882856932E-4</v>
      </c>
      <c r="AL111" s="188">
        <v>102</v>
      </c>
    </row>
    <row r="112" spans="1:38" s="23" customFormat="1" ht="11.25" customHeight="1" outlineLevel="1" x14ac:dyDescent="0.2">
      <c r="A112" s="53"/>
      <c r="B112" s="146" t="s">
        <v>185</v>
      </c>
      <c r="C112" s="189">
        <v>8890021003</v>
      </c>
      <c r="D112" s="147" t="str">
        <f>IFERROR(VLOOKUP(C112,'Material Comprado'!$B$3:$E$419,2,),"")</f>
        <v>SACO PLASTICO PE 35X50X0,15</v>
      </c>
      <c r="E112" s="52" t="s">
        <v>181</v>
      </c>
      <c r="F112" s="157">
        <v>1</v>
      </c>
      <c r="G112" s="51"/>
      <c r="H112" s="148">
        <f t="shared" si="12"/>
        <v>12000</v>
      </c>
      <c r="I112" s="148">
        <f>'Dados de Entrada'!$K$9</f>
        <v>500</v>
      </c>
      <c r="J112" s="50">
        <f>'Dados de Entrada'!$M$9</f>
        <v>1</v>
      </c>
      <c r="K112" s="49"/>
      <c r="L112" s="37"/>
      <c r="M112" s="47"/>
      <c r="N112" s="150" t="str">
        <f>IFERROR(VLOOKUP(C112,'Custo Hora'!$B$3:$D$75,2,),"")</f>
        <v/>
      </c>
      <c r="O112" s="47"/>
      <c r="P112" s="183"/>
      <c r="Q112" s="183"/>
      <c r="R112" s="48"/>
      <c r="S112" s="47"/>
      <c r="T112" s="37"/>
      <c r="U112" s="37"/>
      <c r="V112" s="46">
        <f>IFERROR((VLOOKUP(C112,'Material Comprado'!$B$2:$E$439,4,FALSE)),"0")</f>
        <v>0.61499999999999999</v>
      </c>
      <c r="W112" s="37">
        <f t="shared" si="13"/>
        <v>0.61499999999999999</v>
      </c>
      <c r="X112" s="45"/>
      <c r="Y112" s="44"/>
      <c r="Z112" s="44"/>
      <c r="AA112" s="43"/>
      <c r="AB112" s="42" t="str">
        <f>IFERROR(((P112*VLOOKUP(C112,'Custo Hora'!$B$3:$D$75,3,)/60)*F112),"0")</f>
        <v>0</v>
      </c>
      <c r="AC112" s="42" t="str">
        <f>IFERROR(((Q112*VLOOKUP(C112,'Custo Hora'!$B$3:$D$75,3,))/(I112/J112)),"0")</f>
        <v>0</v>
      </c>
      <c r="AD112" s="41">
        <f t="shared" si="14"/>
        <v>0.61499999999999999</v>
      </c>
      <c r="AE112" s="40"/>
      <c r="AF112" s="39"/>
      <c r="AG112" s="38"/>
      <c r="AH112" s="37"/>
      <c r="AI112" s="36"/>
      <c r="AJ112" s="36"/>
      <c r="AK112" s="17">
        <f t="shared" si="15"/>
        <v>1.0380039188735808E-3</v>
      </c>
      <c r="AL112" s="188">
        <v>103</v>
      </c>
    </row>
    <row r="113" spans="1:38" s="23" customFormat="1" ht="11.25" customHeight="1" outlineLevel="1" x14ac:dyDescent="0.2">
      <c r="A113" s="53"/>
      <c r="B113" s="146" t="s">
        <v>185</v>
      </c>
      <c r="C113" s="189">
        <v>8890021007</v>
      </c>
      <c r="D113" s="147" t="str">
        <f>IFERROR(VLOOKUP(C113,'Material Comprado'!$B$3:$E$419,2,),"")</f>
        <v>SACO PLASTICO PE 16 X 22,5 X0,</v>
      </c>
      <c r="E113" s="52" t="s">
        <v>181</v>
      </c>
      <c r="F113" s="157">
        <v>1</v>
      </c>
      <c r="G113" s="51"/>
      <c r="H113" s="148">
        <f t="shared" si="12"/>
        <v>12000</v>
      </c>
      <c r="I113" s="148">
        <f>'Dados de Entrada'!$K$9</f>
        <v>500</v>
      </c>
      <c r="J113" s="50">
        <f>'Dados de Entrada'!$M$9</f>
        <v>1</v>
      </c>
      <c r="K113" s="49"/>
      <c r="L113" s="37"/>
      <c r="M113" s="47"/>
      <c r="N113" s="150" t="str">
        <f>IFERROR(VLOOKUP(C113,'Custo Hora'!$B$3:$D$75,2,),"")</f>
        <v/>
      </c>
      <c r="O113" s="47"/>
      <c r="P113" s="183"/>
      <c r="Q113" s="183"/>
      <c r="R113" s="48"/>
      <c r="S113" s="47"/>
      <c r="T113" s="37"/>
      <c r="U113" s="37"/>
      <c r="V113" s="46">
        <f>IFERROR((VLOOKUP(C113,'Material Comprado'!$B$2:$E$439,4,FALSE)),"0")</f>
        <v>0.19</v>
      </c>
      <c r="W113" s="37">
        <f t="shared" si="13"/>
        <v>0.19</v>
      </c>
      <c r="X113" s="45"/>
      <c r="Y113" s="44"/>
      <c r="Z113" s="44"/>
      <c r="AA113" s="43"/>
      <c r="AB113" s="42" t="str">
        <f>IFERROR(((P113*VLOOKUP(C113,'Custo Hora'!$B$3:$D$75,3,)/60)*F113),"0")</f>
        <v>0</v>
      </c>
      <c r="AC113" s="42" t="str">
        <f>IFERROR(((Q113*VLOOKUP(C113,'Custo Hora'!$B$3:$D$75,3,))/(I113/J113)),"0")</f>
        <v>0</v>
      </c>
      <c r="AD113" s="41">
        <f t="shared" si="14"/>
        <v>0.19</v>
      </c>
      <c r="AE113" s="40"/>
      <c r="AF113" s="39"/>
      <c r="AG113" s="38"/>
      <c r="AH113" s="37"/>
      <c r="AI113" s="36"/>
      <c r="AJ113" s="36"/>
      <c r="AK113" s="17">
        <f t="shared" si="15"/>
        <v>3.2068413753817948E-4</v>
      </c>
      <c r="AL113" s="188">
        <v>104</v>
      </c>
    </row>
    <row r="114" spans="1:38" s="23" customFormat="1" ht="11.25" customHeight="1" outlineLevel="1" x14ac:dyDescent="0.2">
      <c r="A114" s="53"/>
      <c r="B114" s="146" t="s">
        <v>185</v>
      </c>
      <c r="C114" s="189">
        <v>99602006004</v>
      </c>
      <c r="D114" s="147" t="str">
        <f>IFERROR(VLOOKUP(C114,'Material Comprado'!$B$3:$E$419,2,),"")</f>
        <v>PORCA SEXTAVADA TORQUE G8 3/8-</v>
      </c>
      <c r="E114" s="52" t="s">
        <v>179</v>
      </c>
      <c r="F114" s="157">
        <v>6</v>
      </c>
      <c r="G114" s="51"/>
      <c r="H114" s="148">
        <f t="shared" si="12"/>
        <v>12000</v>
      </c>
      <c r="I114" s="148">
        <f>'Dados de Entrada'!$K$9</f>
        <v>500</v>
      </c>
      <c r="J114" s="50">
        <f>'Dados de Entrada'!$M$9</f>
        <v>1</v>
      </c>
      <c r="K114" s="49"/>
      <c r="L114" s="37"/>
      <c r="M114" s="47"/>
      <c r="N114" s="150" t="str">
        <f>IFERROR(VLOOKUP(C114,'Custo Hora'!$B$3:$D$75,2,),"")</f>
        <v/>
      </c>
      <c r="O114" s="47"/>
      <c r="P114" s="183"/>
      <c r="Q114" s="183"/>
      <c r="R114" s="48"/>
      <c r="S114" s="47"/>
      <c r="T114" s="37"/>
      <c r="U114" s="37"/>
      <c r="V114" s="46">
        <f>IFERROR((VLOOKUP(C114,'Material Comprado'!$B$2:$E$439,4,FALSE)),"0")</f>
        <v>0.29699999999999999</v>
      </c>
      <c r="W114" s="37">
        <f t="shared" si="13"/>
        <v>1.782</v>
      </c>
      <c r="X114" s="45"/>
      <c r="Y114" s="44"/>
      <c r="Z114" s="44"/>
      <c r="AA114" s="43"/>
      <c r="AB114" s="42" t="str">
        <f>IFERROR(((P114*VLOOKUP(C114,'Custo Hora'!$B$3:$D$75,3,)/60)*F114),"0")</f>
        <v>0</v>
      </c>
      <c r="AC114" s="42" t="str">
        <f>IFERROR(((Q114*VLOOKUP(C114,'Custo Hora'!$B$3:$D$75,3,))/(I114/J114)),"0")</f>
        <v>0</v>
      </c>
      <c r="AD114" s="41">
        <f t="shared" si="14"/>
        <v>1.782</v>
      </c>
      <c r="AE114" s="40"/>
      <c r="AF114" s="39"/>
      <c r="AG114" s="38"/>
      <c r="AH114" s="37"/>
      <c r="AI114" s="36"/>
      <c r="AJ114" s="36"/>
      <c r="AK114" s="17">
        <f t="shared" si="15"/>
        <v>3.0076796478580832E-3</v>
      </c>
      <c r="AL114" s="188">
        <v>105</v>
      </c>
    </row>
    <row r="115" spans="1:38" s="23" customFormat="1" ht="11.25" customHeight="1" outlineLevel="1" x14ac:dyDescent="0.2">
      <c r="A115" s="53"/>
      <c r="B115" s="146" t="s">
        <v>185</v>
      </c>
      <c r="C115" s="189">
        <v>99602009006</v>
      </c>
      <c r="D115" s="147" t="str">
        <f>IFERROR(VLOOKUP(C115,'Material Comprado'!$B$3:$E$419,2,),"")</f>
        <v>ARRUELA M10 CONICA ESTRIADA VS</v>
      </c>
      <c r="E115" s="52" t="s">
        <v>181</v>
      </c>
      <c r="F115" s="157">
        <v>6</v>
      </c>
      <c r="G115" s="51"/>
      <c r="H115" s="148">
        <f t="shared" si="12"/>
        <v>12000</v>
      </c>
      <c r="I115" s="148">
        <f>'Dados de Entrada'!$K$9</f>
        <v>500</v>
      </c>
      <c r="J115" s="50">
        <f>'Dados de Entrada'!$M$9</f>
        <v>1</v>
      </c>
      <c r="K115" s="49"/>
      <c r="L115" s="37"/>
      <c r="M115" s="47"/>
      <c r="N115" s="150" t="str">
        <f>IFERROR(VLOOKUP(C115,'Custo Hora'!$B$3:$D$75,2,),"")</f>
        <v/>
      </c>
      <c r="O115" s="47"/>
      <c r="P115" s="183"/>
      <c r="Q115" s="183"/>
      <c r="R115" s="48"/>
      <c r="S115" s="47"/>
      <c r="T115" s="37"/>
      <c r="U115" s="37"/>
      <c r="V115" s="46">
        <f>IFERROR((VLOOKUP(C115,'Material Comprado'!$B$2:$E$439,4,FALSE)),"0")</f>
        <v>0.43</v>
      </c>
      <c r="W115" s="37">
        <f t="shared" si="13"/>
        <v>2.58</v>
      </c>
      <c r="X115" s="45"/>
      <c r="Y115" s="44"/>
      <c r="Z115" s="44"/>
      <c r="AA115" s="43"/>
      <c r="AB115" s="42" t="str">
        <f>IFERROR(((P115*VLOOKUP(C115,'Custo Hora'!$B$3:$D$75,3,)/60)*F115),"0")</f>
        <v>0</v>
      </c>
      <c r="AC115" s="42" t="str">
        <f>IFERROR(((Q115*VLOOKUP(C115,'Custo Hora'!$B$3:$D$75,3,))/(I115/J115)),"0")</f>
        <v>0</v>
      </c>
      <c r="AD115" s="41">
        <f t="shared" si="14"/>
        <v>2.58</v>
      </c>
      <c r="AE115" s="40"/>
      <c r="AF115" s="39"/>
      <c r="AG115" s="38"/>
      <c r="AH115" s="37"/>
      <c r="AI115" s="36"/>
      <c r="AJ115" s="36"/>
      <c r="AK115" s="17">
        <f t="shared" si="15"/>
        <v>4.3545530255184369E-3</v>
      </c>
      <c r="AL115" s="188">
        <v>106</v>
      </c>
    </row>
    <row r="116" spans="1:38" s="23" customFormat="1" ht="11.25" customHeight="1" outlineLevel="1" x14ac:dyDescent="0.2">
      <c r="A116" s="53"/>
      <c r="B116" s="146" t="s">
        <v>185</v>
      </c>
      <c r="C116" s="189">
        <v>99602012006</v>
      </c>
      <c r="D116" s="147" t="str">
        <f>IFERROR(VLOOKUP(C116,'Material Comprado'!$B$3:$E$419,2,),"")</f>
        <v>PRISIONEIRO M10X1,5 X 3/8 UNF</v>
      </c>
      <c r="E116" s="52" t="s">
        <v>181</v>
      </c>
      <c r="F116" s="157">
        <v>6</v>
      </c>
      <c r="G116" s="51"/>
      <c r="H116" s="148">
        <f t="shared" si="12"/>
        <v>12000</v>
      </c>
      <c r="I116" s="148">
        <f>'Dados de Entrada'!$K$9</f>
        <v>500</v>
      </c>
      <c r="J116" s="50">
        <f>'Dados de Entrada'!$M$9</f>
        <v>1</v>
      </c>
      <c r="K116" s="49"/>
      <c r="L116" s="37"/>
      <c r="M116" s="47"/>
      <c r="N116" s="150" t="str">
        <f>IFERROR(VLOOKUP(C116,'Custo Hora'!$B$3:$D$75,2,),"")</f>
        <v/>
      </c>
      <c r="O116" s="47"/>
      <c r="P116" s="183"/>
      <c r="Q116" s="183"/>
      <c r="R116" s="48"/>
      <c r="S116" s="47"/>
      <c r="T116" s="37"/>
      <c r="U116" s="37"/>
      <c r="V116" s="46">
        <f>IFERROR((VLOOKUP(C116,'Material Comprado'!$B$2:$E$439,4,FALSE)),"0")</f>
        <v>0.9</v>
      </c>
      <c r="W116" s="37">
        <f t="shared" si="13"/>
        <v>5.4</v>
      </c>
      <c r="X116" s="45"/>
      <c r="Y116" s="44"/>
      <c r="Z116" s="44"/>
      <c r="AA116" s="43"/>
      <c r="AB116" s="42" t="str">
        <f>IFERROR(((P116*VLOOKUP(C116,'Custo Hora'!$B$3:$D$75,3,)/60)*F116),"0")</f>
        <v>0</v>
      </c>
      <c r="AC116" s="42" t="str">
        <f>IFERROR(((Q116*VLOOKUP(C116,'Custo Hora'!$B$3:$D$75,3,))/(I116/J116)),"0")</f>
        <v>0</v>
      </c>
      <c r="AD116" s="41">
        <f t="shared" si="14"/>
        <v>5.4</v>
      </c>
      <c r="AE116" s="40"/>
      <c r="AF116" s="39"/>
      <c r="AG116" s="38"/>
      <c r="AH116" s="37"/>
      <c r="AI116" s="36"/>
      <c r="AJ116" s="36"/>
      <c r="AK116" s="17">
        <f t="shared" si="15"/>
        <v>9.1141807510851016E-3</v>
      </c>
      <c r="AL116" s="188">
        <v>107</v>
      </c>
    </row>
    <row r="117" spans="1:38" s="23" customFormat="1" ht="11.25" customHeight="1" outlineLevel="1" x14ac:dyDescent="0.2">
      <c r="A117" s="53"/>
      <c r="B117" s="146" t="s">
        <v>185</v>
      </c>
      <c r="C117" s="189">
        <v>99609002002</v>
      </c>
      <c r="D117" s="147" t="str">
        <f>IFERROR(VLOOKUP(C117,'Material Comprado'!$B$3:$E$419,2,),"")</f>
        <v>PLAQUETA DE IDENTIFICACAO DE A</v>
      </c>
      <c r="E117" s="52" t="s">
        <v>179</v>
      </c>
      <c r="F117" s="157">
        <v>3.3E-3</v>
      </c>
      <c r="G117" s="51"/>
      <c r="H117" s="148">
        <f t="shared" si="12"/>
        <v>12000</v>
      </c>
      <c r="I117" s="148">
        <f>'Dados de Entrada'!$K$9</f>
        <v>500</v>
      </c>
      <c r="J117" s="50">
        <f>'Dados de Entrada'!$M$9</f>
        <v>1</v>
      </c>
      <c r="K117" s="49"/>
      <c r="L117" s="37"/>
      <c r="M117" s="47"/>
      <c r="N117" s="150" t="str">
        <f>IFERROR(VLOOKUP(C117,'Custo Hora'!$B$3:$D$75,2,),"")</f>
        <v/>
      </c>
      <c r="O117" s="47"/>
      <c r="P117" s="183"/>
      <c r="Q117" s="183"/>
      <c r="R117" s="48"/>
      <c r="S117" s="47"/>
      <c r="T117" s="37"/>
      <c r="U117" s="37"/>
      <c r="V117" s="46">
        <f>IFERROR((VLOOKUP(C117,'Material Comprado'!$B$2:$E$439,4,FALSE)),"0")</f>
        <v>0.68200000000000005</v>
      </c>
      <c r="W117" s="37">
        <f t="shared" si="13"/>
        <v>2.2506000000000002E-3</v>
      </c>
      <c r="X117" s="45"/>
      <c r="Y117" s="44"/>
      <c r="Z117" s="44"/>
      <c r="AA117" s="43"/>
      <c r="AB117" s="42" t="str">
        <f>IFERROR(((P117*VLOOKUP(C117,'Custo Hora'!$B$3:$D$75,3,)/60)*F117),"0")</f>
        <v>0</v>
      </c>
      <c r="AC117" s="42" t="str">
        <f>IFERROR(((Q117*VLOOKUP(C117,'Custo Hora'!$B$3:$D$75,3,))/(I117/J117)),"0")</f>
        <v>0</v>
      </c>
      <c r="AD117" s="41">
        <f t="shared" si="14"/>
        <v>2.2506000000000002E-3</v>
      </c>
      <c r="AE117" s="40"/>
      <c r="AF117" s="39"/>
      <c r="AG117" s="38"/>
      <c r="AH117" s="37"/>
      <c r="AI117" s="36"/>
      <c r="AJ117" s="36"/>
      <c r="AK117" s="17">
        <f t="shared" si="15"/>
        <v>3.7985879997022459E-6</v>
      </c>
      <c r="AL117" s="188">
        <v>108</v>
      </c>
    </row>
    <row r="118" spans="1:38" s="23" customFormat="1" ht="11.25" customHeight="1" outlineLevel="1" x14ac:dyDescent="0.2">
      <c r="A118" s="53"/>
      <c r="B118" s="146" t="s">
        <v>185</v>
      </c>
      <c r="C118" s="189">
        <v>99612001002</v>
      </c>
      <c r="D118" s="147" t="str">
        <f>IFERROR(VLOOKUP(C118,'Material Comprado'!$B$3:$E$419,2,),"")</f>
        <v>ADESIVO ANAEROBICO  CIS 177 -</v>
      </c>
      <c r="E118" s="52" t="s">
        <v>179</v>
      </c>
      <c r="F118" s="157">
        <v>1E-3</v>
      </c>
      <c r="G118" s="51"/>
      <c r="H118" s="148">
        <f t="shared" si="12"/>
        <v>12000</v>
      </c>
      <c r="I118" s="148">
        <f>'Dados de Entrada'!$K$9</f>
        <v>500</v>
      </c>
      <c r="J118" s="50">
        <f>'Dados de Entrada'!$M$9</f>
        <v>1</v>
      </c>
      <c r="K118" s="49"/>
      <c r="L118" s="37"/>
      <c r="M118" s="47"/>
      <c r="N118" s="150" t="str">
        <f>IFERROR(VLOOKUP(C118,'Custo Hora'!$B$3:$D$75,2,),"")</f>
        <v/>
      </c>
      <c r="O118" s="47"/>
      <c r="P118" s="183"/>
      <c r="Q118" s="183"/>
      <c r="R118" s="48"/>
      <c r="S118" s="47"/>
      <c r="T118" s="37"/>
      <c r="U118" s="37"/>
      <c r="V118" s="46">
        <f>IFERROR((VLOOKUP(C118,'Material Comprado'!$B$2:$E$439,4,FALSE)),"0")</f>
        <v>74.63</v>
      </c>
      <c r="W118" s="37">
        <f t="shared" si="13"/>
        <v>7.4630000000000002E-2</v>
      </c>
      <c r="X118" s="45"/>
      <c r="Y118" s="44"/>
      <c r="Z118" s="44"/>
      <c r="AA118" s="43"/>
      <c r="AB118" s="42" t="str">
        <f>IFERROR(((P118*VLOOKUP(C118,'Custo Hora'!$B$3:$D$75,3,)/60)*F118),"0")</f>
        <v>0</v>
      </c>
      <c r="AC118" s="42" t="str">
        <f>IFERROR(((Q118*VLOOKUP(C118,'Custo Hora'!$B$3:$D$75,3,))/(I118/J118)),"0")</f>
        <v>0</v>
      </c>
      <c r="AD118" s="41">
        <f t="shared" si="14"/>
        <v>7.4630000000000002E-2</v>
      </c>
      <c r="AE118" s="40"/>
      <c r="AF118" s="39"/>
      <c r="AG118" s="38"/>
      <c r="AH118" s="37"/>
      <c r="AI118" s="36"/>
      <c r="AJ118" s="36"/>
      <c r="AK118" s="17">
        <f t="shared" si="15"/>
        <v>1.259613536024965E-4</v>
      </c>
      <c r="AL118" s="188">
        <v>109</v>
      </c>
    </row>
    <row r="119" spans="1:38" s="23" customFormat="1" ht="11.25" customHeight="1" outlineLevel="1" x14ac:dyDescent="0.2">
      <c r="A119" s="53"/>
      <c r="B119" s="146" t="s">
        <v>184</v>
      </c>
      <c r="C119" s="189">
        <v>99601001003</v>
      </c>
      <c r="D119" s="147" t="str">
        <f>IFERROR(VLOOKUP(C119,'Material Comprado'!$B$3:$E$419,2,),"")</f>
        <v>ANEL ORING 13,94X2,62 REF. PAR</v>
      </c>
      <c r="E119" s="52" t="s">
        <v>181</v>
      </c>
      <c r="F119" s="157">
        <v>1</v>
      </c>
      <c r="G119" s="51"/>
      <c r="H119" s="148">
        <f t="shared" si="12"/>
        <v>12000</v>
      </c>
      <c r="I119" s="148">
        <f>'Dados de Entrada'!$K$9</f>
        <v>500</v>
      </c>
      <c r="J119" s="50">
        <f>'Dados de Entrada'!$M$9</f>
        <v>1</v>
      </c>
      <c r="K119" s="49"/>
      <c r="L119" s="37"/>
      <c r="M119" s="47"/>
      <c r="N119" s="150" t="str">
        <f>IFERROR(VLOOKUP(C119,'Custo Hora'!$B$3:$D$75,2,),"")</f>
        <v/>
      </c>
      <c r="O119" s="47"/>
      <c r="P119" s="183"/>
      <c r="Q119" s="183"/>
      <c r="R119" s="48"/>
      <c r="S119" s="47"/>
      <c r="T119" s="37"/>
      <c r="U119" s="37"/>
      <c r="V119" s="46">
        <f>IFERROR((VLOOKUP(C119,'Material Comprado'!$B$2:$E$439,4,FALSE)),"0")</f>
        <v>5.5E-2</v>
      </c>
      <c r="W119" s="37">
        <f t="shared" si="13"/>
        <v>5.5E-2</v>
      </c>
      <c r="X119" s="45"/>
      <c r="Y119" s="44"/>
      <c r="Z119" s="44"/>
      <c r="AA119" s="43"/>
      <c r="AB119" s="42" t="str">
        <f>IFERROR(((P119*VLOOKUP(C119,'Custo Hora'!$B$3:$D$75,3,)/60)*F119),"0")</f>
        <v>0</v>
      </c>
      <c r="AC119" s="42" t="str">
        <f>IFERROR(((Q119*VLOOKUP(C119,'Custo Hora'!$B$3:$D$75,3,))/(I119/J119)),"0")</f>
        <v>0</v>
      </c>
      <c r="AD119" s="41">
        <f t="shared" si="14"/>
        <v>5.5E-2</v>
      </c>
      <c r="AE119" s="40"/>
      <c r="AF119" s="39"/>
      <c r="AG119" s="38"/>
      <c r="AH119" s="37"/>
      <c r="AI119" s="36"/>
      <c r="AJ119" s="36"/>
      <c r="AK119" s="17">
        <f t="shared" si="15"/>
        <v>9.2829618761051946E-5</v>
      </c>
      <c r="AL119" s="188">
        <v>110</v>
      </c>
    </row>
    <row r="120" spans="1:38" s="23" customFormat="1" ht="11.25" customHeight="1" outlineLevel="1" x14ac:dyDescent="0.2">
      <c r="A120" s="53"/>
      <c r="B120" s="146" t="s">
        <v>184</v>
      </c>
      <c r="C120" s="189">
        <v>99601001013</v>
      </c>
      <c r="D120" s="147" t="str">
        <f>IFERROR(VLOOKUP(C120,'Material Comprado'!$B$3:$E$419,2,),"")</f>
        <v>ANEL ORING 37,69 X 3,53 REF.PA</v>
      </c>
      <c r="E120" s="52" t="s">
        <v>179</v>
      </c>
      <c r="F120" s="157">
        <v>1</v>
      </c>
      <c r="G120" s="51"/>
      <c r="H120" s="148">
        <f t="shared" si="12"/>
        <v>12000</v>
      </c>
      <c r="I120" s="148">
        <f>'Dados de Entrada'!$K$9</f>
        <v>500</v>
      </c>
      <c r="J120" s="50">
        <f>'Dados de Entrada'!$M$9</f>
        <v>1</v>
      </c>
      <c r="K120" s="49"/>
      <c r="L120" s="37"/>
      <c r="M120" s="47"/>
      <c r="N120" s="150" t="str">
        <f>IFERROR(VLOOKUP(C120,'Custo Hora'!$B$3:$D$75,2,),"")</f>
        <v/>
      </c>
      <c r="O120" s="47"/>
      <c r="P120" s="183"/>
      <c r="Q120" s="183"/>
      <c r="R120" s="48"/>
      <c r="S120" s="47"/>
      <c r="T120" s="37"/>
      <c r="U120" s="37"/>
      <c r="V120" s="46">
        <f>IFERROR((VLOOKUP(C120,'Material Comprado'!$B$2:$E$439,4,FALSE)),"0")</f>
        <v>0.24</v>
      </c>
      <c r="W120" s="37">
        <f t="shared" si="13"/>
        <v>0.24</v>
      </c>
      <c r="X120" s="45"/>
      <c r="Y120" s="44"/>
      <c r="Z120" s="44"/>
      <c r="AA120" s="43"/>
      <c r="AB120" s="42" t="str">
        <f>IFERROR(((P120*VLOOKUP(C120,'Custo Hora'!$B$3:$D$75,3,)/60)*F120),"0")</f>
        <v>0</v>
      </c>
      <c r="AC120" s="42" t="str">
        <f>IFERROR(((Q120*VLOOKUP(C120,'Custo Hora'!$B$3:$D$75,3,))/(I120/J120)),"0")</f>
        <v>0</v>
      </c>
      <c r="AD120" s="41">
        <f t="shared" si="14"/>
        <v>0.24</v>
      </c>
      <c r="AE120" s="40"/>
      <c r="AF120" s="39"/>
      <c r="AG120" s="38"/>
      <c r="AH120" s="37"/>
      <c r="AI120" s="36"/>
      <c r="AJ120" s="36"/>
      <c r="AK120" s="17">
        <f t="shared" si="15"/>
        <v>4.0507470004822669E-4</v>
      </c>
      <c r="AL120" s="188">
        <v>111</v>
      </c>
    </row>
    <row r="121" spans="1:38" s="23" customFormat="1" ht="11.25" customHeight="1" outlineLevel="1" x14ac:dyDescent="0.2">
      <c r="A121" s="53"/>
      <c r="B121" s="146" t="s">
        <v>184</v>
      </c>
      <c r="C121" s="189">
        <v>99601001018</v>
      </c>
      <c r="D121" s="147" t="str">
        <f>IFERROR(VLOOKUP(C121,'Material Comprado'!$B$3:$E$419,2,),"")</f>
        <v>ANEL ORING 66,34 X 2,62 REF.PA</v>
      </c>
      <c r="E121" s="52" t="s">
        <v>179</v>
      </c>
      <c r="F121" s="157">
        <v>2</v>
      </c>
      <c r="G121" s="51"/>
      <c r="H121" s="148">
        <f t="shared" si="12"/>
        <v>12000</v>
      </c>
      <c r="I121" s="148">
        <f>'Dados de Entrada'!$K$9</f>
        <v>500</v>
      </c>
      <c r="J121" s="50">
        <f>'Dados de Entrada'!$M$9</f>
        <v>1</v>
      </c>
      <c r="K121" s="49"/>
      <c r="L121" s="37"/>
      <c r="M121" s="47"/>
      <c r="N121" s="150" t="str">
        <f>IFERROR(VLOOKUP(C121,'Custo Hora'!$B$3:$D$75,2,),"")</f>
        <v/>
      </c>
      <c r="O121" s="47"/>
      <c r="P121" s="183"/>
      <c r="Q121" s="183"/>
      <c r="R121" s="48"/>
      <c r="S121" s="47"/>
      <c r="T121" s="37"/>
      <c r="U121" s="37"/>
      <c r="V121" s="46">
        <f>IFERROR((VLOOKUP(C121,'Material Comprado'!$B$2:$E$439,4,FALSE)),"0")</f>
        <v>0.33800000000000002</v>
      </c>
      <c r="W121" s="37">
        <f t="shared" si="13"/>
        <v>0.67600000000000005</v>
      </c>
      <c r="X121" s="45"/>
      <c r="Y121" s="44"/>
      <c r="Z121" s="44"/>
      <c r="AA121" s="43"/>
      <c r="AB121" s="42" t="str">
        <f>IFERROR(((P121*VLOOKUP(C121,'Custo Hora'!$B$3:$D$75,3,)/60)*F121),"0")</f>
        <v>0</v>
      </c>
      <c r="AC121" s="42" t="str">
        <f>IFERROR(((Q121*VLOOKUP(C121,'Custo Hora'!$B$3:$D$75,3,))/(I121/J121)),"0")</f>
        <v>0</v>
      </c>
      <c r="AD121" s="41">
        <f t="shared" si="14"/>
        <v>0.67600000000000005</v>
      </c>
      <c r="AE121" s="40"/>
      <c r="AF121" s="39"/>
      <c r="AG121" s="38"/>
      <c r="AH121" s="37"/>
      <c r="AI121" s="36"/>
      <c r="AJ121" s="36"/>
      <c r="AK121" s="17">
        <f t="shared" si="15"/>
        <v>1.1409604051358386E-3</v>
      </c>
      <c r="AL121" s="188">
        <v>112</v>
      </c>
    </row>
    <row r="122" spans="1:38" s="23" customFormat="1" ht="11.25" customHeight="1" outlineLevel="1" x14ac:dyDescent="0.2">
      <c r="A122" s="53"/>
      <c r="B122" s="146" t="s">
        <v>184</v>
      </c>
      <c r="C122" s="189">
        <v>99601002010</v>
      </c>
      <c r="D122" s="147" t="str">
        <f>IFERROR(VLOOKUP(C122,'Material Comprado'!$B$3:$E$419,2,),"")</f>
        <v>ANEL ORING 32,92 X 3,53 REF.PA</v>
      </c>
      <c r="E122" s="52" t="s">
        <v>179</v>
      </c>
      <c r="F122" s="157">
        <v>1</v>
      </c>
      <c r="G122" s="51"/>
      <c r="H122" s="148">
        <f t="shared" si="12"/>
        <v>12000</v>
      </c>
      <c r="I122" s="148">
        <f>'Dados de Entrada'!$K$9</f>
        <v>500</v>
      </c>
      <c r="J122" s="50">
        <f>'Dados de Entrada'!$M$9</f>
        <v>1</v>
      </c>
      <c r="K122" s="49"/>
      <c r="L122" s="37"/>
      <c r="M122" s="47"/>
      <c r="N122" s="150" t="str">
        <f>IFERROR(VLOOKUP(C122,'Custo Hora'!$B$3:$D$75,2,),"")</f>
        <v/>
      </c>
      <c r="O122" s="47"/>
      <c r="P122" s="183"/>
      <c r="Q122" s="183"/>
      <c r="R122" s="48"/>
      <c r="S122" s="47"/>
      <c r="T122" s="37"/>
      <c r="U122" s="37"/>
      <c r="V122" s="46">
        <f>IFERROR((VLOOKUP(C122,'Material Comprado'!$B$2:$E$439,4,FALSE)),"0")</f>
        <v>2.6640000000000001</v>
      </c>
      <c r="W122" s="37">
        <f t="shared" si="13"/>
        <v>2.6640000000000001</v>
      </c>
      <c r="X122" s="45"/>
      <c r="Y122" s="44"/>
      <c r="Z122" s="44"/>
      <c r="AA122" s="43"/>
      <c r="AB122" s="42" t="str">
        <f>IFERROR(((P122*VLOOKUP(C122,'Custo Hora'!$B$3:$D$75,3,)/60)*F122),"0")</f>
        <v>0</v>
      </c>
      <c r="AC122" s="42" t="str">
        <f>IFERROR(((Q122*VLOOKUP(C122,'Custo Hora'!$B$3:$D$75,3,))/(I122/J122)),"0")</f>
        <v>0</v>
      </c>
      <c r="AD122" s="41">
        <f t="shared" si="14"/>
        <v>2.6640000000000001</v>
      </c>
      <c r="AE122" s="40"/>
      <c r="AF122" s="39"/>
      <c r="AG122" s="38"/>
      <c r="AH122" s="37"/>
      <c r="AI122" s="36"/>
      <c r="AJ122" s="36"/>
      <c r="AK122" s="17">
        <f t="shared" si="15"/>
        <v>4.4963291705353162E-3</v>
      </c>
      <c r="AL122" s="188">
        <v>113</v>
      </c>
    </row>
    <row r="123" spans="1:38" s="23" customFormat="1" ht="11.25" customHeight="1" outlineLevel="1" x14ac:dyDescent="0.2">
      <c r="A123" s="53"/>
      <c r="B123" s="146" t="s">
        <v>184</v>
      </c>
      <c r="C123" s="189">
        <v>99601004013</v>
      </c>
      <c r="D123" s="147" t="str">
        <f>IFERROR(VLOOKUP(C123,'Material Comprado'!$B$3:$E$419,2,),"")</f>
        <v>RETENTOR BRG 35X50X8 DELIVERY</v>
      </c>
      <c r="E123" s="52" t="s">
        <v>179</v>
      </c>
      <c r="F123" s="157">
        <v>1</v>
      </c>
      <c r="G123" s="51"/>
      <c r="H123" s="148">
        <f t="shared" si="12"/>
        <v>12000</v>
      </c>
      <c r="I123" s="148">
        <f>'Dados de Entrada'!$K$9</f>
        <v>500</v>
      </c>
      <c r="J123" s="50">
        <f>'Dados de Entrada'!$M$9</f>
        <v>1</v>
      </c>
      <c r="K123" s="49"/>
      <c r="L123" s="37"/>
      <c r="M123" s="47"/>
      <c r="N123" s="150" t="str">
        <f>IFERROR(VLOOKUP(C123,'Custo Hora'!$B$3:$D$75,2,),"")</f>
        <v/>
      </c>
      <c r="O123" s="47"/>
      <c r="P123" s="183"/>
      <c r="Q123" s="183"/>
      <c r="R123" s="48"/>
      <c r="S123" s="47"/>
      <c r="T123" s="37"/>
      <c r="U123" s="37"/>
      <c r="V123" s="46">
        <f>IFERROR((VLOOKUP(C123,'Material Comprado'!$B$2:$E$439,4,FALSE)),"0")</f>
        <v>3.6669999999999998</v>
      </c>
      <c r="W123" s="37">
        <f t="shared" si="13"/>
        <v>3.6669999999999998</v>
      </c>
      <c r="X123" s="45"/>
      <c r="Y123" s="44"/>
      <c r="Z123" s="44"/>
      <c r="AA123" s="43"/>
      <c r="AB123" s="42" t="str">
        <f>IFERROR(((P123*VLOOKUP(C123,'Custo Hora'!$B$3:$D$75,3,)/60)*F123),"0")</f>
        <v>0</v>
      </c>
      <c r="AC123" s="42" t="str">
        <f>IFERROR(((Q123*VLOOKUP(C123,'Custo Hora'!$B$3:$D$75,3,))/(I123/J123)),"0")</f>
        <v>0</v>
      </c>
      <c r="AD123" s="41">
        <f t="shared" si="14"/>
        <v>3.6669999999999998</v>
      </c>
      <c r="AE123" s="40"/>
      <c r="AF123" s="39"/>
      <c r="AG123" s="38"/>
      <c r="AH123" s="37"/>
      <c r="AI123" s="36"/>
      <c r="AJ123" s="36"/>
      <c r="AK123" s="17">
        <f t="shared" si="15"/>
        <v>6.1892038544868631E-3</v>
      </c>
      <c r="AL123" s="188">
        <v>114</v>
      </c>
    </row>
    <row r="124" spans="1:38" s="23" customFormat="1" ht="11.25" customHeight="1" outlineLevel="1" x14ac:dyDescent="0.2">
      <c r="A124" s="53"/>
      <c r="B124" s="146" t="s">
        <v>184</v>
      </c>
      <c r="C124" s="189">
        <v>99602002008</v>
      </c>
      <c r="D124" s="147" t="str">
        <f>IFERROR(VLOOKUP(C124,'Material Comprado'!$B$3:$E$419,2,),"")</f>
        <v>PARAFUSO ALLEN G10 SXT INTERNO</v>
      </c>
      <c r="E124" s="52" t="s">
        <v>179</v>
      </c>
      <c r="F124" s="157">
        <v>4</v>
      </c>
      <c r="G124" s="51"/>
      <c r="H124" s="148">
        <f t="shared" si="12"/>
        <v>12000</v>
      </c>
      <c r="I124" s="148">
        <f>'Dados de Entrada'!$K$9</f>
        <v>500</v>
      </c>
      <c r="J124" s="50">
        <f>'Dados de Entrada'!$M$9</f>
        <v>1</v>
      </c>
      <c r="K124" s="49"/>
      <c r="L124" s="37"/>
      <c r="M124" s="47"/>
      <c r="N124" s="150" t="str">
        <f>IFERROR(VLOOKUP(C124,'Custo Hora'!$B$3:$D$75,2,),"")</f>
        <v/>
      </c>
      <c r="O124" s="47"/>
      <c r="P124" s="183"/>
      <c r="Q124" s="183"/>
      <c r="R124" s="48"/>
      <c r="S124" s="47"/>
      <c r="T124" s="37"/>
      <c r="U124" s="37"/>
      <c r="V124" s="46">
        <f>IFERROR((VLOOKUP(C124,'Material Comprado'!$B$2:$E$439,4,FALSE)),"0")</f>
        <v>0.76300000000000001</v>
      </c>
      <c r="W124" s="37">
        <f t="shared" si="13"/>
        <v>3.052</v>
      </c>
      <c r="X124" s="45"/>
      <c r="Y124" s="44"/>
      <c r="Z124" s="44"/>
      <c r="AA124" s="43"/>
      <c r="AB124" s="42" t="str">
        <f>IFERROR(((P124*VLOOKUP(C124,'Custo Hora'!$B$3:$D$75,3,)/60)*F124),"0")</f>
        <v>0</v>
      </c>
      <c r="AC124" s="42" t="str">
        <f>IFERROR(((Q124*VLOOKUP(C124,'Custo Hora'!$B$3:$D$75,3,))/(I124/J124)),"0")</f>
        <v>0</v>
      </c>
      <c r="AD124" s="41">
        <f t="shared" si="14"/>
        <v>3.052</v>
      </c>
      <c r="AE124" s="40"/>
      <c r="AF124" s="39"/>
      <c r="AG124" s="38"/>
      <c r="AH124" s="37"/>
      <c r="AI124" s="36"/>
      <c r="AJ124" s="36"/>
      <c r="AK124" s="17">
        <f t="shared" si="15"/>
        <v>5.1511999356132826E-3</v>
      </c>
      <c r="AL124" s="188">
        <v>115</v>
      </c>
    </row>
    <row r="125" spans="1:38" s="23" customFormat="1" ht="11.25" customHeight="1" outlineLevel="1" x14ac:dyDescent="0.2">
      <c r="A125" s="53"/>
      <c r="B125" s="146" t="s">
        <v>184</v>
      </c>
      <c r="C125" s="189">
        <v>99602003015</v>
      </c>
      <c r="D125" s="147" t="str">
        <f>IFERROR(VLOOKUP(C125,'Material Comprado'!$B$3:$E$419,2,),"")</f>
        <v>PARAFUSO SEXT. M12X1.75X40 CLA</v>
      </c>
      <c r="E125" s="52" t="s">
        <v>179</v>
      </c>
      <c r="F125" s="157">
        <v>2</v>
      </c>
      <c r="G125" s="51"/>
      <c r="H125" s="148">
        <f t="shared" si="12"/>
        <v>12000</v>
      </c>
      <c r="I125" s="148">
        <f>'Dados de Entrada'!$K$9</f>
        <v>500</v>
      </c>
      <c r="J125" s="50">
        <f>'Dados de Entrada'!$M$9</f>
        <v>1</v>
      </c>
      <c r="K125" s="49"/>
      <c r="L125" s="37"/>
      <c r="M125" s="47"/>
      <c r="N125" s="150" t="str">
        <f>IFERROR(VLOOKUP(C125,'Custo Hora'!$B$3:$D$75,2,),"")</f>
        <v/>
      </c>
      <c r="O125" s="47"/>
      <c r="P125" s="183"/>
      <c r="Q125" s="183"/>
      <c r="R125" s="48"/>
      <c r="S125" s="47"/>
      <c r="T125" s="37"/>
      <c r="U125" s="37"/>
      <c r="V125" s="46">
        <f>IFERROR((VLOOKUP(C125,'Material Comprado'!$B$2:$E$439,4,FALSE)),"0")</f>
        <v>1.03</v>
      </c>
      <c r="W125" s="37">
        <f t="shared" si="13"/>
        <v>2.06</v>
      </c>
      <c r="X125" s="45"/>
      <c r="Y125" s="44"/>
      <c r="Z125" s="44"/>
      <c r="AA125" s="43"/>
      <c r="AB125" s="42" t="str">
        <f>IFERROR(((P125*VLOOKUP(C125,'Custo Hora'!$B$3:$D$75,3,)/60)*F125),"0")</f>
        <v>0</v>
      </c>
      <c r="AC125" s="42" t="str">
        <f>IFERROR(((Q125*VLOOKUP(C125,'Custo Hora'!$B$3:$D$75,3,))/(I125/J125)),"0")</f>
        <v>0</v>
      </c>
      <c r="AD125" s="41">
        <f t="shared" si="14"/>
        <v>2.06</v>
      </c>
      <c r="AE125" s="40"/>
      <c r="AF125" s="39"/>
      <c r="AG125" s="38"/>
      <c r="AH125" s="37"/>
      <c r="AI125" s="36"/>
      <c r="AJ125" s="36"/>
      <c r="AK125" s="17">
        <f t="shared" si="15"/>
        <v>3.4768911754139457E-3</v>
      </c>
      <c r="AL125" s="188">
        <v>116</v>
      </c>
    </row>
    <row r="126" spans="1:38" s="23" customFormat="1" ht="11.25" customHeight="1" outlineLevel="1" x14ac:dyDescent="0.2">
      <c r="A126" s="53"/>
      <c r="B126" s="146" t="s">
        <v>184</v>
      </c>
      <c r="C126" s="189">
        <v>99602004002</v>
      </c>
      <c r="D126" s="147" t="str">
        <f>IFERROR(VLOOKUP(C126,'Material Comprado'!$B$3:$E$419,2,),"")</f>
        <v>PARAFUSO G5 SEXTAVADO CONICO S</v>
      </c>
      <c r="E126" s="52" t="s">
        <v>179</v>
      </c>
      <c r="F126" s="157">
        <v>4</v>
      </c>
      <c r="G126" s="51"/>
      <c r="H126" s="148">
        <f t="shared" si="12"/>
        <v>12000</v>
      </c>
      <c r="I126" s="148">
        <f>'Dados de Entrada'!$K$9</f>
        <v>500</v>
      </c>
      <c r="J126" s="50">
        <f>'Dados de Entrada'!$M$9</f>
        <v>1</v>
      </c>
      <c r="K126" s="49"/>
      <c r="L126" s="37"/>
      <c r="M126" s="47"/>
      <c r="N126" s="150" t="str">
        <f>IFERROR(VLOOKUP(C126,'Custo Hora'!$B$3:$D$75,2,),"")</f>
        <v/>
      </c>
      <c r="O126" s="47"/>
      <c r="P126" s="183"/>
      <c r="Q126" s="183"/>
      <c r="R126" s="48"/>
      <c r="S126" s="47"/>
      <c r="T126" s="37"/>
      <c r="U126" s="37"/>
      <c r="V126" s="46">
        <f>IFERROR((VLOOKUP(C126,'Material Comprado'!$B$2:$E$439,4,FALSE)),"0")</f>
        <v>0.61299999999999999</v>
      </c>
      <c r="W126" s="37">
        <f t="shared" si="13"/>
        <v>2.452</v>
      </c>
      <c r="X126" s="45"/>
      <c r="Y126" s="44"/>
      <c r="Z126" s="44"/>
      <c r="AA126" s="43"/>
      <c r="AB126" s="42" t="str">
        <f>IFERROR(((P126*VLOOKUP(C126,'Custo Hora'!$B$3:$D$75,3,)/60)*F126),"0")</f>
        <v>0</v>
      </c>
      <c r="AC126" s="42" t="str">
        <f>IFERROR(((Q126*VLOOKUP(C126,'Custo Hora'!$B$3:$D$75,3,))/(I126/J126)),"0")</f>
        <v>0</v>
      </c>
      <c r="AD126" s="41">
        <f t="shared" si="14"/>
        <v>2.452</v>
      </c>
      <c r="AE126" s="40"/>
      <c r="AF126" s="39"/>
      <c r="AG126" s="38"/>
      <c r="AH126" s="37"/>
      <c r="AI126" s="36"/>
      <c r="AJ126" s="36"/>
      <c r="AK126" s="17">
        <f t="shared" si="15"/>
        <v>4.1385131854927157E-3</v>
      </c>
      <c r="AL126" s="188">
        <v>117</v>
      </c>
    </row>
    <row r="127" spans="1:38" s="23" customFormat="1" ht="11.25" customHeight="1" outlineLevel="1" x14ac:dyDescent="0.2">
      <c r="A127" s="53"/>
      <c r="B127" s="146" t="s">
        <v>184</v>
      </c>
      <c r="C127" s="189">
        <v>99602009008</v>
      </c>
      <c r="D127" s="147" t="str">
        <f>IFERROR(VLOOKUP(C127,'Material Comprado'!$B$3:$E$419,2,),"")</f>
        <v>ARRUELA LISA M12 - DIN 125 13X</v>
      </c>
      <c r="E127" s="52" t="s">
        <v>181</v>
      </c>
      <c r="F127" s="157">
        <v>2</v>
      </c>
      <c r="G127" s="51"/>
      <c r="H127" s="148">
        <f t="shared" si="12"/>
        <v>12000</v>
      </c>
      <c r="I127" s="148">
        <f>'Dados de Entrada'!$K$9</f>
        <v>500</v>
      </c>
      <c r="J127" s="50">
        <f>'Dados de Entrada'!$M$9</f>
        <v>1</v>
      </c>
      <c r="K127" s="49"/>
      <c r="L127" s="37"/>
      <c r="M127" s="47"/>
      <c r="N127" s="150" t="str">
        <f>IFERROR(VLOOKUP(C127,'Custo Hora'!$B$3:$D$75,2,),"")</f>
        <v/>
      </c>
      <c r="O127" s="47"/>
      <c r="P127" s="183"/>
      <c r="Q127" s="183"/>
      <c r="R127" s="48"/>
      <c r="S127" s="47"/>
      <c r="T127" s="37"/>
      <c r="U127" s="37"/>
      <c r="V127" s="46">
        <f>IFERROR((VLOOKUP(C127,'Material Comprado'!$B$2:$E$439,4,FALSE)),"0")</f>
        <v>0.156</v>
      </c>
      <c r="W127" s="37">
        <f t="shared" si="13"/>
        <v>0.312</v>
      </c>
      <c r="X127" s="45"/>
      <c r="Y127" s="44"/>
      <c r="Z127" s="44"/>
      <c r="AA127" s="43"/>
      <c r="AB127" s="42" t="str">
        <f>IFERROR(((P127*VLOOKUP(C127,'Custo Hora'!$B$3:$D$75,3,)/60)*F127),"0")</f>
        <v>0</v>
      </c>
      <c r="AC127" s="42" t="str">
        <f>IFERROR(((Q127*VLOOKUP(C127,'Custo Hora'!$B$3:$D$75,3,))/(I127/J127)),"0")</f>
        <v>0</v>
      </c>
      <c r="AD127" s="41">
        <f t="shared" si="14"/>
        <v>0.312</v>
      </c>
      <c r="AE127" s="40"/>
      <c r="AF127" s="39"/>
      <c r="AG127" s="38"/>
      <c r="AH127" s="37"/>
      <c r="AI127" s="36"/>
      <c r="AJ127" s="36"/>
      <c r="AK127" s="17">
        <f t="shared" si="15"/>
        <v>5.265971100626947E-4</v>
      </c>
      <c r="AL127" s="188">
        <v>118</v>
      </c>
    </row>
    <row r="128" spans="1:38" s="23" customFormat="1" ht="11.25" customHeight="1" outlineLevel="1" x14ac:dyDescent="0.2">
      <c r="A128" s="53"/>
      <c r="B128" s="146" t="s">
        <v>184</v>
      </c>
      <c r="C128" s="189">
        <v>99602015004</v>
      </c>
      <c r="D128" s="147" t="str">
        <f>IFERROR(VLOOKUP(C128,'Material Comprado'!$B$3:$E$419,2,),"")</f>
        <v>ANEL ELASTICO RENO PARA FURO D</v>
      </c>
      <c r="E128" s="52" t="s">
        <v>179</v>
      </c>
      <c r="F128" s="157">
        <v>1</v>
      </c>
      <c r="G128" s="51"/>
      <c r="H128" s="148">
        <f t="shared" si="12"/>
        <v>12000</v>
      </c>
      <c r="I128" s="148">
        <f>'Dados de Entrada'!$K$9</f>
        <v>500</v>
      </c>
      <c r="J128" s="50">
        <f>'Dados de Entrada'!$M$9</f>
        <v>1</v>
      </c>
      <c r="K128" s="49"/>
      <c r="L128" s="37"/>
      <c r="M128" s="47"/>
      <c r="N128" s="150" t="str">
        <f>IFERROR(VLOOKUP(C128,'Custo Hora'!$B$3:$D$75,2,),"")</f>
        <v/>
      </c>
      <c r="O128" s="47"/>
      <c r="P128" s="183"/>
      <c r="Q128" s="183"/>
      <c r="R128" s="48"/>
      <c r="S128" s="47"/>
      <c r="T128" s="37"/>
      <c r="U128" s="37"/>
      <c r="V128" s="46">
        <f>IFERROR((VLOOKUP(C128,'Material Comprado'!$B$2:$E$439,4,FALSE)),"0")</f>
        <v>0.77600000000000002</v>
      </c>
      <c r="W128" s="37">
        <f t="shared" si="13"/>
        <v>0.77600000000000002</v>
      </c>
      <c r="X128" s="45"/>
      <c r="Y128" s="44"/>
      <c r="Z128" s="44"/>
      <c r="AA128" s="43"/>
      <c r="AB128" s="42" t="str">
        <f>IFERROR(((P128*VLOOKUP(C128,'Custo Hora'!$B$3:$D$75,3,)/60)*F128),"0")</f>
        <v>0</v>
      </c>
      <c r="AC128" s="42" t="str">
        <f>IFERROR(((Q128*VLOOKUP(C128,'Custo Hora'!$B$3:$D$75,3,))/(I128/J128)),"0")</f>
        <v>0</v>
      </c>
      <c r="AD128" s="41">
        <f t="shared" si="14"/>
        <v>0.77600000000000002</v>
      </c>
      <c r="AE128" s="40"/>
      <c r="AF128" s="39"/>
      <c r="AG128" s="38"/>
      <c r="AH128" s="37"/>
      <c r="AI128" s="36"/>
      <c r="AJ128" s="36"/>
      <c r="AK128" s="17">
        <f t="shared" si="15"/>
        <v>1.3097415301559329E-3</v>
      </c>
      <c r="AL128" s="188">
        <v>119</v>
      </c>
    </row>
    <row r="129" spans="1:38" s="23" customFormat="1" ht="11.25" customHeight="1" outlineLevel="1" x14ac:dyDescent="0.2">
      <c r="A129" s="53"/>
      <c r="B129" s="146" t="s">
        <v>184</v>
      </c>
      <c r="C129" s="189">
        <v>99602015009</v>
      </c>
      <c r="D129" s="147" t="str">
        <f>IFERROR(VLOOKUP(C129,'Material Comprado'!$B$3:$E$419,2,),"")</f>
        <v>ANEL DE RETENCAO P/ FURO I-051</v>
      </c>
      <c r="E129" s="52" t="s">
        <v>179</v>
      </c>
      <c r="F129" s="157">
        <v>1</v>
      </c>
      <c r="G129" s="51"/>
      <c r="H129" s="148">
        <f t="shared" si="12"/>
        <v>12000</v>
      </c>
      <c r="I129" s="148">
        <f>'Dados de Entrada'!$K$9</f>
        <v>500</v>
      </c>
      <c r="J129" s="50">
        <f>'Dados de Entrada'!$M$9</f>
        <v>1</v>
      </c>
      <c r="K129" s="49"/>
      <c r="L129" s="37"/>
      <c r="M129" s="47"/>
      <c r="N129" s="150" t="str">
        <f>IFERROR(VLOOKUP(C129,'Custo Hora'!$B$3:$D$75,2,),"")</f>
        <v/>
      </c>
      <c r="O129" s="47"/>
      <c r="P129" s="183"/>
      <c r="Q129" s="183"/>
      <c r="R129" s="48"/>
      <c r="S129" s="47"/>
      <c r="T129" s="37"/>
      <c r="U129" s="37"/>
      <c r="V129" s="46">
        <f>IFERROR((VLOOKUP(C129,'Material Comprado'!$B$2:$E$439,4,FALSE)),"0")</f>
        <v>0.995</v>
      </c>
      <c r="W129" s="37">
        <f t="shared" si="13"/>
        <v>0.995</v>
      </c>
      <c r="X129" s="45"/>
      <c r="Y129" s="44"/>
      <c r="Z129" s="44"/>
      <c r="AA129" s="43"/>
      <c r="AB129" s="42" t="str">
        <f>IFERROR(((P129*VLOOKUP(C129,'Custo Hora'!$B$3:$D$75,3,)/60)*F129),"0")</f>
        <v>0</v>
      </c>
      <c r="AC129" s="42" t="str">
        <f>IFERROR(((Q129*VLOOKUP(C129,'Custo Hora'!$B$3:$D$75,3,))/(I129/J129)),"0")</f>
        <v>0</v>
      </c>
      <c r="AD129" s="41">
        <f t="shared" si="14"/>
        <v>0.995</v>
      </c>
      <c r="AE129" s="40"/>
      <c r="AF129" s="39"/>
      <c r="AG129" s="38"/>
      <c r="AH129" s="37"/>
      <c r="AI129" s="36"/>
      <c r="AJ129" s="36"/>
      <c r="AK129" s="17">
        <f t="shared" si="15"/>
        <v>1.6793721939499398E-3</v>
      </c>
      <c r="AL129" s="188">
        <v>120</v>
      </c>
    </row>
    <row r="130" spans="1:38" s="23" customFormat="1" ht="11.25" customHeight="1" outlineLevel="1" x14ac:dyDescent="0.2">
      <c r="A130" s="53"/>
      <c r="B130" s="146" t="s">
        <v>184</v>
      </c>
      <c r="C130" s="189">
        <v>99602015011</v>
      </c>
      <c r="D130" s="147" t="str">
        <f>IFERROR(VLOOKUP(C130,'Material Comprado'!$B$3:$E$419,2,),"")</f>
        <v>ANEL ELASTICO RENO PARA FURO D</v>
      </c>
      <c r="E130" s="52" t="s">
        <v>179</v>
      </c>
      <c r="F130" s="157">
        <v>1</v>
      </c>
      <c r="G130" s="51"/>
      <c r="H130" s="148">
        <f t="shared" si="12"/>
        <v>12000</v>
      </c>
      <c r="I130" s="148">
        <f>'Dados de Entrada'!$K$9</f>
        <v>500</v>
      </c>
      <c r="J130" s="50">
        <f>'Dados de Entrada'!$M$9</f>
        <v>1</v>
      </c>
      <c r="K130" s="49"/>
      <c r="L130" s="37"/>
      <c r="M130" s="47"/>
      <c r="N130" s="150" t="str">
        <f>IFERROR(VLOOKUP(C130,'Custo Hora'!$B$3:$D$75,2,),"")</f>
        <v/>
      </c>
      <c r="O130" s="47"/>
      <c r="P130" s="183"/>
      <c r="Q130" s="183"/>
      <c r="R130" s="48"/>
      <c r="S130" s="47"/>
      <c r="T130" s="37"/>
      <c r="U130" s="37"/>
      <c r="V130" s="46">
        <f>IFERROR((VLOOKUP(C130,'Material Comprado'!$B$2:$E$439,4,FALSE)),"0")</f>
        <v>0.65900000000000003</v>
      </c>
      <c r="W130" s="37">
        <f t="shared" si="13"/>
        <v>0.65900000000000003</v>
      </c>
      <c r="X130" s="45"/>
      <c r="Y130" s="44"/>
      <c r="Z130" s="44"/>
      <c r="AA130" s="43"/>
      <c r="AB130" s="42" t="str">
        <f>IFERROR(((P130*VLOOKUP(C130,'Custo Hora'!$B$3:$D$75,3,)/60)*F130),"0")</f>
        <v>0</v>
      </c>
      <c r="AC130" s="42" t="str">
        <f>IFERROR(((Q130*VLOOKUP(C130,'Custo Hora'!$B$3:$D$75,3,))/(I130/J130)),"0")</f>
        <v>0</v>
      </c>
      <c r="AD130" s="41">
        <f t="shared" si="14"/>
        <v>0.65900000000000003</v>
      </c>
      <c r="AE130" s="40"/>
      <c r="AF130" s="39"/>
      <c r="AG130" s="38"/>
      <c r="AH130" s="37"/>
      <c r="AI130" s="36"/>
      <c r="AJ130" s="36"/>
      <c r="AK130" s="17">
        <f t="shared" si="15"/>
        <v>1.1122676138824224E-3</v>
      </c>
      <c r="AL130" s="188">
        <v>121</v>
      </c>
    </row>
    <row r="131" spans="1:38" s="23" customFormat="1" ht="11.25" customHeight="1" outlineLevel="1" x14ac:dyDescent="0.2">
      <c r="A131" s="53"/>
      <c r="B131" s="146" t="s">
        <v>184</v>
      </c>
      <c r="C131" s="189">
        <v>99602022001</v>
      </c>
      <c r="D131" s="147" t="str">
        <f>IFERROR(VLOOKUP(C131,'Material Comprado'!$B$3:$E$419,2,),"")</f>
        <v>PARAFUSO ALLEN SEM CABECA M6X1</v>
      </c>
      <c r="E131" s="52" t="s">
        <v>179</v>
      </c>
      <c r="F131" s="157">
        <v>1</v>
      </c>
      <c r="G131" s="51"/>
      <c r="H131" s="148">
        <f t="shared" si="12"/>
        <v>12000</v>
      </c>
      <c r="I131" s="148">
        <f>'Dados de Entrada'!$K$9</f>
        <v>500</v>
      </c>
      <c r="J131" s="50">
        <f>'Dados de Entrada'!$M$9</f>
        <v>1</v>
      </c>
      <c r="K131" s="49"/>
      <c r="L131" s="37"/>
      <c r="M131" s="47"/>
      <c r="N131" s="150" t="str">
        <f>IFERROR(VLOOKUP(C131,'Custo Hora'!$B$3:$D$75,2,),"")</f>
        <v/>
      </c>
      <c r="O131" s="47"/>
      <c r="P131" s="183"/>
      <c r="Q131" s="183"/>
      <c r="R131" s="48"/>
      <c r="S131" s="47"/>
      <c r="T131" s="37"/>
      <c r="U131" s="37"/>
      <c r="V131" s="46">
        <f>IFERROR((VLOOKUP(C131,'Material Comprado'!$B$2:$E$439,4,FALSE)),"0")</f>
        <v>0.1</v>
      </c>
      <c r="W131" s="37">
        <f t="shared" si="13"/>
        <v>0.1</v>
      </c>
      <c r="X131" s="45"/>
      <c r="Y131" s="44"/>
      <c r="Z131" s="44"/>
      <c r="AA131" s="43"/>
      <c r="AB131" s="42" t="str">
        <f>IFERROR(((P131*VLOOKUP(C131,'Custo Hora'!$B$3:$D$75,3,)/60)*F131),"0")</f>
        <v>0</v>
      </c>
      <c r="AC131" s="42" t="str">
        <f>IFERROR(((Q131*VLOOKUP(C131,'Custo Hora'!$B$3:$D$75,3,))/(I131/J131)),"0")</f>
        <v>0</v>
      </c>
      <c r="AD131" s="41">
        <f t="shared" si="14"/>
        <v>0.1</v>
      </c>
      <c r="AE131" s="40"/>
      <c r="AF131" s="39"/>
      <c r="AG131" s="38"/>
      <c r="AH131" s="37"/>
      <c r="AI131" s="36"/>
      <c r="AJ131" s="36"/>
      <c r="AK131" s="17">
        <f t="shared" si="15"/>
        <v>1.6878112502009447E-4</v>
      </c>
      <c r="AL131" s="188">
        <v>122</v>
      </c>
    </row>
    <row r="132" spans="1:38" s="23" customFormat="1" ht="11.25" customHeight="1" outlineLevel="1" x14ac:dyDescent="0.2">
      <c r="A132" s="53"/>
      <c r="B132" s="146" t="s">
        <v>184</v>
      </c>
      <c r="C132" s="189">
        <v>99604003007</v>
      </c>
      <c r="D132" s="147" t="str">
        <f>IFERROR(VLOOKUP(C132,'Material Comprado'!$B$3:$E$419,2,),"")</f>
        <v>ROLAMENTO 1 CARREIRA ESFERAS 3</v>
      </c>
      <c r="E132" s="52" t="s">
        <v>181</v>
      </c>
      <c r="F132" s="157">
        <v>1</v>
      </c>
      <c r="G132" s="51"/>
      <c r="H132" s="148">
        <f t="shared" si="12"/>
        <v>12000</v>
      </c>
      <c r="I132" s="148">
        <f>'Dados de Entrada'!$K$9</f>
        <v>500</v>
      </c>
      <c r="J132" s="50">
        <f>'Dados de Entrada'!$M$9</f>
        <v>1</v>
      </c>
      <c r="K132" s="49"/>
      <c r="L132" s="37"/>
      <c r="M132" s="47"/>
      <c r="N132" s="150" t="str">
        <f>IFERROR(VLOOKUP(C132,'Custo Hora'!$B$3:$D$75,2,),"")</f>
        <v/>
      </c>
      <c r="O132" s="47"/>
      <c r="P132" s="183"/>
      <c r="Q132" s="183"/>
      <c r="R132" s="48"/>
      <c r="S132" s="47"/>
      <c r="T132" s="37"/>
      <c r="U132" s="37"/>
      <c r="V132" s="46">
        <f>IFERROR((VLOOKUP(C132,'Material Comprado'!$B$2:$E$439,4,FALSE)),"0")</f>
        <v>8.1180000000000003</v>
      </c>
      <c r="W132" s="37">
        <f t="shared" si="13"/>
        <v>8.1180000000000003</v>
      </c>
      <c r="X132" s="45"/>
      <c r="Y132" s="44"/>
      <c r="Z132" s="44"/>
      <c r="AA132" s="43"/>
      <c r="AB132" s="42" t="str">
        <f>IFERROR(((P132*VLOOKUP(C132,'Custo Hora'!$B$3:$D$75,3,)/60)*F132),"0")</f>
        <v>0</v>
      </c>
      <c r="AC132" s="42" t="str">
        <f>IFERROR(((Q132*VLOOKUP(C132,'Custo Hora'!$B$3:$D$75,3,))/(I132/J132)),"0")</f>
        <v>0</v>
      </c>
      <c r="AD132" s="41">
        <f t="shared" si="14"/>
        <v>8.1180000000000003</v>
      </c>
      <c r="AE132" s="40"/>
      <c r="AF132" s="39"/>
      <c r="AG132" s="38"/>
      <c r="AH132" s="37"/>
      <c r="AI132" s="36"/>
      <c r="AJ132" s="36"/>
      <c r="AK132" s="17">
        <f t="shared" si="15"/>
        <v>1.3701651729131268E-2</v>
      </c>
      <c r="AL132" s="188">
        <v>123</v>
      </c>
    </row>
    <row r="133" spans="1:38" s="23" customFormat="1" ht="11.25" customHeight="1" outlineLevel="1" x14ac:dyDescent="0.2">
      <c r="A133" s="53"/>
      <c r="B133" s="146" t="s">
        <v>184</v>
      </c>
      <c r="C133" s="189">
        <v>99604003016</v>
      </c>
      <c r="D133" s="147" t="str">
        <f>IFERROR(VLOOKUP(C133,'Material Comprado'!$B$3:$E$419,2,),"")</f>
        <v>ROLAMENTO 1 CARREIRA ESFERAS 2</v>
      </c>
      <c r="E133" s="52" t="s">
        <v>181</v>
      </c>
      <c r="F133" s="157">
        <v>1</v>
      </c>
      <c r="G133" s="51"/>
      <c r="H133" s="148">
        <f t="shared" si="12"/>
        <v>12000</v>
      </c>
      <c r="I133" s="148">
        <f>'Dados de Entrada'!$K$9</f>
        <v>500</v>
      </c>
      <c r="J133" s="50">
        <f>'Dados de Entrada'!$M$9</f>
        <v>1</v>
      </c>
      <c r="K133" s="49"/>
      <c r="L133" s="37"/>
      <c r="M133" s="47"/>
      <c r="N133" s="150" t="str">
        <f>IFERROR(VLOOKUP(C133,'Custo Hora'!$B$3:$D$75,2,),"")</f>
        <v/>
      </c>
      <c r="O133" s="47"/>
      <c r="P133" s="183"/>
      <c r="Q133" s="183"/>
      <c r="R133" s="48"/>
      <c r="S133" s="47"/>
      <c r="T133" s="37"/>
      <c r="U133" s="37"/>
      <c r="V133" s="46">
        <f>IFERROR((VLOOKUP(C133,'Material Comprado'!$B$2:$E$439,4,FALSE)),"0")</f>
        <v>7.4560000000000004</v>
      </c>
      <c r="W133" s="37">
        <f t="shared" si="13"/>
        <v>7.4560000000000004</v>
      </c>
      <c r="X133" s="45"/>
      <c r="Y133" s="44"/>
      <c r="Z133" s="44"/>
      <c r="AA133" s="43"/>
      <c r="AB133" s="42" t="str">
        <f>IFERROR(((P133*VLOOKUP(C133,'Custo Hora'!$B$3:$D$75,3,)/60)*F133),"0")</f>
        <v>0</v>
      </c>
      <c r="AC133" s="42" t="str">
        <f>IFERROR(((Q133*VLOOKUP(C133,'Custo Hora'!$B$3:$D$75,3,))/(I133/J133)),"0")</f>
        <v>0</v>
      </c>
      <c r="AD133" s="41">
        <f t="shared" si="14"/>
        <v>7.4560000000000004</v>
      </c>
      <c r="AE133" s="40"/>
      <c r="AF133" s="39"/>
      <c r="AG133" s="38"/>
      <c r="AH133" s="37"/>
      <c r="AI133" s="36"/>
      <c r="AJ133" s="36"/>
      <c r="AK133" s="17">
        <f t="shared" si="15"/>
        <v>1.2584320681498243E-2</v>
      </c>
      <c r="AL133" s="188">
        <v>124</v>
      </c>
    </row>
    <row r="134" spans="1:38" s="23" customFormat="1" ht="11.25" customHeight="1" outlineLevel="1" x14ac:dyDescent="0.2">
      <c r="A134" s="53"/>
      <c r="B134" s="146" t="s">
        <v>184</v>
      </c>
      <c r="C134" s="189">
        <v>99604004011</v>
      </c>
      <c r="D134" s="147" t="str">
        <f>IFERROR(VLOOKUP(C134,'Material Comprado'!$B$3:$E$419,2,),"")</f>
        <v>ROLAMENTO ROLETES CONICOS 20X5</v>
      </c>
      <c r="E134" s="52" t="s">
        <v>181</v>
      </c>
      <c r="F134" s="157">
        <v>2</v>
      </c>
      <c r="G134" s="51"/>
      <c r="H134" s="148">
        <f t="shared" si="12"/>
        <v>12000</v>
      </c>
      <c r="I134" s="148">
        <f>'Dados de Entrada'!$K$9</f>
        <v>500</v>
      </c>
      <c r="J134" s="50">
        <f>'Dados de Entrada'!$M$9</f>
        <v>1</v>
      </c>
      <c r="K134" s="49"/>
      <c r="L134" s="37"/>
      <c r="M134" s="47"/>
      <c r="N134" s="150" t="str">
        <f>IFERROR(VLOOKUP(C134,'Custo Hora'!$B$3:$D$75,2,),"")</f>
        <v/>
      </c>
      <c r="O134" s="47"/>
      <c r="P134" s="183"/>
      <c r="Q134" s="183"/>
      <c r="R134" s="48"/>
      <c r="S134" s="47"/>
      <c r="T134" s="37"/>
      <c r="U134" s="37"/>
      <c r="V134" s="46">
        <f>IFERROR((VLOOKUP(C134,'Material Comprado'!$B$2:$E$439,4,FALSE)),"0")</f>
        <v>11.11</v>
      </c>
      <c r="W134" s="37">
        <f t="shared" si="13"/>
        <v>22.22</v>
      </c>
      <c r="X134" s="45"/>
      <c r="Y134" s="44"/>
      <c r="Z134" s="44"/>
      <c r="AA134" s="43"/>
      <c r="AB134" s="42" t="str">
        <f>IFERROR(((P134*VLOOKUP(C134,'Custo Hora'!$B$3:$D$75,3,)/60)*F134),"0")</f>
        <v>0</v>
      </c>
      <c r="AC134" s="42" t="str">
        <f>IFERROR(((Q134*VLOOKUP(C134,'Custo Hora'!$B$3:$D$75,3,))/(I134/J134)),"0")</f>
        <v>0</v>
      </c>
      <c r="AD134" s="41">
        <f t="shared" si="14"/>
        <v>22.22</v>
      </c>
      <c r="AE134" s="40"/>
      <c r="AF134" s="39"/>
      <c r="AG134" s="38"/>
      <c r="AH134" s="37"/>
      <c r="AI134" s="36"/>
      <c r="AJ134" s="36"/>
      <c r="AK134" s="17">
        <f t="shared" si="15"/>
        <v>3.7503165979464986E-2</v>
      </c>
      <c r="AL134" s="188">
        <v>125</v>
      </c>
    </row>
    <row r="135" spans="1:38" s="23" customFormat="1" ht="11.25" customHeight="1" outlineLevel="1" x14ac:dyDescent="0.2">
      <c r="A135" s="53"/>
      <c r="B135" s="146" t="s">
        <v>184</v>
      </c>
      <c r="C135" s="189">
        <v>99605001006</v>
      </c>
      <c r="D135" s="147" t="str">
        <f>IFERROR(VLOOKUP(C135,'Material Comprado'!$B$3:$E$419,2,),"")</f>
        <v>MOLA DE COMPRESSAO - Ø36X76 -</v>
      </c>
      <c r="E135" s="52" t="s">
        <v>179</v>
      </c>
      <c r="F135" s="157">
        <v>1</v>
      </c>
      <c r="G135" s="51"/>
      <c r="H135" s="148">
        <f t="shared" si="12"/>
        <v>12000</v>
      </c>
      <c r="I135" s="148">
        <f>'Dados de Entrada'!$K$9</f>
        <v>500</v>
      </c>
      <c r="J135" s="50">
        <f>'Dados de Entrada'!$M$9</f>
        <v>1</v>
      </c>
      <c r="K135" s="49"/>
      <c r="L135" s="37"/>
      <c r="M135" s="47"/>
      <c r="N135" s="150" t="str">
        <f>IFERROR(VLOOKUP(C135,'Custo Hora'!$B$3:$D$75,2,),"")</f>
        <v/>
      </c>
      <c r="O135" s="47"/>
      <c r="P135" s="183"/>
      <c r="Q135" s="183"/>
      <c r="R135" s="48"/>
      <c r="S135" s="47"/>
      <c r="T135" s="37"/>
      <c r="U135" s="37"/>
      <c r="V135" s="46">
        <f>IFERROR((VLOOKUP(C135,'Material Comprado'!$B$2:$E$439,4,FALSE)),"0")</f>
        <v>4.7770000000000001</v>
      </c>
      <c r="W135" s="37">
        <f t="shared" si="13"/>
        <v>4.7770000000000001</v>
      </c>
      <c r="X135" s="45"/>
      <c r="Y135" s="44"/>
      <c r="Z135" s="44"/>
      <c r="AA135" s="43"/>
      <c r="AB135" s="42" t="str">
        <f>IFERROR(((P135*VLOOKUP(C135,'Custo Hora'!$B$3:$D$75,3,)/60)*F135),"0")</f>
        <v>0</v>
      </c>
      <c r="AC135" s="42" t="str">
        <f>IFERROR(((Q135*VLOOKUP(C135,'Custo Hora'!$B$3:$D$75,3,))/(I135/J135)),"0")</f>
        <v>0</v>
      </c>
      <c r="AD135" s="41">
        <f t="shared" si="14"/>
        <v>4.7770000000000001</v>
      </c>
      <c r="AE135" s="40"/>
      <c r="AF135" s="39"/>
      <c r="AG135" s="38"/>
      <c r="AH135" s="37"/>
      <c r="AI135" s="36"/>
      <c r="AJ135" s="36"/>
      <c r="AK135" s="17">
        <f t="shared" si="15"/>
        <v>8.062674342209912E-3</v>
      </c>
      <c r="AL135" s="188">
        <v>126</v>
      </c>
    </row>
    <row r="136" spans="1:38" s="23" customFormat="1" ht="11.25" customHeight="1" outlineLevel="1" x14ac:dyDescent="0.2">
      <c r="A136" s="53"/>
      <c r="B136" s="146" t="s">
        <v>184</v>
      </c>
      <c r="C136" s="189">
        <v>99606001001</v>
      </c>
      <c r="D136" s="147" t="str">
        <f>IFERROR(VLOOKUP(C136,'Material Comprado'!$B$3:$E$419,2,),"")</f>
        <v>CONECTOR PNEUMATICO MACHO1/4(T</v>
      </c>
      <c r="E136" s="52" t="s">
        <v>181</v>
      </c>
      <c r="F136" s="157">
        <v>1</v>
      </c>
      <c r="G136" s="51"/>
      <c r="H136" s="148">
        <f t="shared" si="12"/>
        <v>12000</v>
      </c>
      <c r="I136" s="148">
        <f>'Dados de Entrada'!$K$9</f>
        <v>500</v>
      </c>
      <c r="J136" s="50">
        <f>'Dados de Entrada'!$M$9</f>
        <v>1</v>
      </c>
      <c r="K136" s="49"/>
      <c r="L136" s="37"/>
      <c r="M136" s="47"/>
      <c r="N136" s="150" t="str">
        <f>IFERROR(VLOOKUP(C136,'Custo Hora'!$B$3:$D$75,2,),"")</f>
        <v/>
      </c>
      <c r="O136" s="47"/>
      <c r="P136" s="183"/>
      <c r="Q136" s="183"/>
      <c r="R136" s="48"/>
      <c r="S136" s="47"/>
      <c r="T136" s="37"/>
      <c r="U136" s="37"/>
      <c r="V136" s="46">
        <f>IFERROR((VLOOKUP(C136,'Material Comprado'!$B$2:$E$439,4,FALSE)),"0")</f>
        <v>2.6619999999999999</v>
      </c>
      <c r="W136" s="37">
        <f t="shared" si="13"/>
        <v>2.6619999999999999</v>
      </c>
      <c r="X136" s="45"/>
      <c r="Y136" s="44"/>
      <c r="Z136" s="44"/>
      <c r="AA136" s="43"/>
      <c r="AB136" s="42" t="str">
        <f>IFERROR(((P136*VLOOKUP(C136,'Custo Hora'!$B$3:$D$75,3,)/60)*F136),"0")</f>
        <v>0</v>
      </c>
      <c r="AC136" s="42" t="str">
        <f>IFERROR(((Q136*VLOOKUP(C136,'Custo Hora'!$B$3:$D$75,3,))/(I136/J136)),"0")</f>
        <v>0</v>
      </c>
      <c r="AD136" s="41">
        <f t="shared" si="14"/>
        <v>2.6619999999999999</v>
      </c>
      <c r="AE136" s="40"/>
      <c r="AF136" s="39"/>
      <c r="AG136" s="38"/>
      <c r="AH136" s="37"/>
      <c r="AI136" s="36"/>
      <c r="AJ136" s="36"/>
      <c r="AK136" s="17">
        <f t="shared" si="15"/>
        <v>4.4929535480349144E-3</v>
      </c>
      <c r="AL136" s="188">
        <v>127</v>
      </c>
    </row>
    <row r="137" spans="1:38" s="23" customFormat="1" ht="11.25" customHeight="1" outlineLevel="1" x14ac:dyDescent="0.2">
      <c r="A137" s="53"/>
      <c r="B137" s="146" t="s">
        <v>184</v>
      </c>
      <c r="C137" s="189">
        <v>99606001003</v>
      </c>
      <c r="D137" s="147" t="str">
        <f>IFERROR(VLOOKUP(C137,'Material Comprado'!$B$3:$E$419,2,),"")</f>
        <v>BUJAO 3/4 - 14 NPTF DIN 906</v>
      </c>
      <c r="E137" s="52" t="s">
        <v>179</v>
      </c>
      <c r="F137" s="157">
        <v>1</v>
      </c>
      <c r="G137" s="51"/>
      <c r="H137" s="148">
        <f t="shared" si="12"/>
        <v>12000</v>
      </c>
      <c r="I137" s="148">
        <f>'Dados de Entrada'!$K$9</f>
        <v>500</v>
      </c>
      <c r="J137" s="50">
        <f>'Dados de Entrada'!$M$9</f>
        <v>1</v>
      </c>
      <c r="K137" s="49"/>
      <c r="L137" s="37"/>
      <c r="M137" s="47"/>
      <c r="N137" s="150" t="str">
        <f>IFERROR(VLOOKUP(C137,'Custo Hora'!$B$3:$D$75,2,),"")</f>
        <v/>
      </c>
      <c r="O137" s="47"/>
      <c r="P137" s="183"/>
      <c r="Q137" s="183"/>
      <c r="R137" s="48"/>
      <c r="S137" s="47"/>
      <c r="T137" s="37"/>
      <c r="U137" s="37"/>
      <c r="V137" s="46">
        <f>IFERROR((VLOOKUP(C137,'Material Comprado'!$B$2:$E$439,4,FALSE)),"0")</f>
        <v>4.13</v>
      </c>
      <c r="W137" s="37">
        <f t="shared" si="13"/>
        <v>4.13</v>
      </c>
      <c r="X137" s="45"/>
      <c r="Y137" s="44"/>
      <c r="Z137" s="44"/>
      <c r="AA137" s="43"/>
      <c r="AB137" s="42" t="str">
        <f>IFERROR(((P137*VLOOKUP(C137,'Custo Hora'!$B$3:$D$75,3,)/60)*F137),"0")</f>
        <v>0</v>
      </c>
      <c r="AC137" s="42" t="str">
        <f>IFERROR(((Q137*VLOOKUP(C137,'Custo Hora'!$B$3:$D$75,3,))/(I137/J137)),"0")</f>
        <v>0</v>
      </c>
      <c r="AD137" s="41">
        <f t="shared" si="14"/>
        <v>4.13</v>
      </c>
      <c r="AE137" s="40"/>
      <c r="AF137" s="39"/>
      <c r="AG137" s="38"/>
      <c r="AH137" s="37"/>
      <c r="AI137" s="36"/>
      <c r="AJ137" s="36"/>
      <c r="AK137" s="17">
        <f t="shared" si="15"/>
        <v>6.9706604633299005E-3</v>
      </c>
      <c r="AL137" s="188">
        <v>128</v>
      </c>
    </row>
    <row r="138" spans="1:38" s="23" customFormat="1" ht="11.25" customHeight="1" outlineLevel="1" x14ac:dyDescent="0.2">
      <c r="A138" s="53"/>
      <c r="B138" s="146" t="s">
        <v>184</v>
      </c>
      <c r="C138" s="189">
        <v>99608001001</v>
      </c>
      <c r="D138" s="147" t="str">
        <f>IFERROR(VLOOKUP(C138,'Material Comprado'!$B$3:$E$419,2,),"")</f>
        <v>CAIXA ONDA BC Nº 15 265X240X19</v>
      </c>
      <c r="E138" s="52" t="s">
        <v>181</v>
      </c>
      <c r="F138" s="157">
        <v>1</v>
      </c>
      <c r="G138" s="51"/>
      <c r="H138" s="148">
        <f t="shared" si="12"/>
        <v>12000</v>
      </c>
      <c r="I138" s="148">
        <f>'Dados de Entrada'!$K$9</f>
        <v>500</v>
      </c>
      <c r="J138" s="50">
        <f>'Dados de Entrada'!$M$9</f>
        <v>1</v>
      </c>
      <c r="K138" s="49"/>
      <c r="L138" s="37"/>
      <c r="M138" s="47"/>
      <c r="N138" s="150" t="str">
        <f>IFERROR(VLOOKUP(C138,'Custo Hora'!$B$3:$D$75,2,),"")</f>
        <v/>
      </c>
      <c r="O138" s="47"/>
      <c r="P138" s="183"/>
      <c r="Q138" s="183"/>
      <c r="R138" s="48"/>
      <c r="S138" s="47"/>
      <c r="T138" s="37"/>
      <c r="U138" s="37"/>
      <c r="V138" s="46">
        <f>IFERROR((VLOOKUP(C138,'Material Comprado'!$B$2:$E$439,4,FALSE)),"0")</f>
        <v>3.1859999999999999</v>
      </c>
      <c r="W138" s="37">
        <f t="shared" si="13"/>
        <v>3.1859999999999999</v>
      </c>
      <c r="X138" s="45"/>
      <c r="Y138" s="44"/>
      <c r="Z138" s="44"/>
      <c r="AA138" s="43"/>
      <c r="AB138" s="42" t="str">
        <f>IFERROR(((P138*VLOOKUP(C138,'Custo Hora'!$B$3:$D$75,3,)/60)*F138),"0")</f>
        <v>0</v>
      </c>
      <c r="AC138" s="42" t="str">
        <f>IFERROR(((Q138*VLOOKUP(C138,'Custo Hora'!$B$3:$D$75,3,))/(I138/J138)),"0")</f>
        <v>0</v>
      </c>
      <c r="AD138" s="41">
        <f t="shared" si="14"/>
        <v>3.1859999999999999</v>
      </c>
      <c r="AE138" s="40"/>
      <c r="AF138" s="39"/>
      <c r="AG138" s="38"/>
      <c r="AH138" s="37"/>
      <c r="AI138" s="36"/>
      <c r="AJ138" s="36"/>
      <c r="AK138" s="17">
        <f t="shared" si="15"/>
        <v>5.3773666431402092E-3</v>
      </c>
      <c r="AL138" s="188">
        <v>129</v>
      </c>
    </row>
    <row r="139" spans="1:38" s="23" customFormat="1" ht="11.25" customHeight="1" outlineLevel="1" x14ac:dyDescent="0.2">
      <c r="A139" s="53"/>
      <c r="B139" s="139"/>
      <c r="C139" s="146"/>
      <c r="D139" s="147" t="str">
        <f>IFERROR(VLOOKUP(C139,'Material Comprado'!$B$3:$E$419,2,),"")</f>
        <v/>
      </c>
      <c r="E139" s="52"/>
      <c r="F139" s="158">
        <v>0</v>
      </c>
      <c r="G139" s="51"/>
      <c r="H139" s="148">
        <f t="shared" ref="H139:H146" si="16">I139*12*2</f>
        <v>12000</v>
      </c>
      <c r="I139" s="148">
        <f>'Dados de Entrada'!$K$9</f>
        <v>500</v>
      </c>
      <c r="J139" s="50">
        <f>'Dados de Entrada'!$M$9</f>
        <v>1</v>
      </c>
      <c r="K139" s="49"/>
      <c r="L139" s="37"/>
      <c r="M139" s="47"/>
      <c r="N139" s="150" t="str">
        <f>IFERROR(VLOOKUP(C139,'Custo Hora'!$B$3:$D$75,2,),"")</f>
        <v/>
      </c>
      <c r="O139" s="47"/>
      <c r="P139" s="145"/>
      <c r="Q139" s="183"/>
      <c r="R139" s="48"/>
      <c r="S139" s="47"/>
      <c r="T139" s="37"/>
      <c r="U139" s="37"/>
      <c r="V139" s="46" t="str">
        <f>IFERROR((VLOOKUP(C139,'Material Comprado'!$B$2:$E$439,4,FALSE)),"0")</f>
        <v>0</v>
      </c>
      <c r="W139" s="37">
        <f t="shared" ref="W139:W146" si="17">((((T139*$C$3)*(1+$C$5))+((U139*$C$4)*(1+$C$6))+V139)*F139)</f>
        <v>0</v>
      </c>
      <c r="X139" s="45"/>
      <c r="Y139" s="44"/>
      <c r="Z139" s="44"/>
      <c r="AA139" s="43"/>
      <c r="AB139" s="42" t="str">
        <f>IFERROR(((P139*VLOOKUP(C139,'Custo Hora'!$B$3:$D$75,3,)/60)*F139),"0")</f>
        <v>0</v>
      </c>
      <c r="AC139" s="42" t="str">
        <f>IFERROR(((Q139*VLOOKUP(C139,'Custo Hora'!$B$3:$D$75,3,))/(I139/J139)),"0")</f>
        <v>0</v>
      </c>
      <c r="AD139" s="41">
        <f t="shared" ref="AD139:AD146" si="18">W139+AB139+AC139+X139</f>
        <v>0</v>
      </c>
      <c r="AE139" s="40"/>
      <c r="AF139" s="39"/>
      <c r="AG139" s="38"/>
      <c r="AH139" s="37"/>
      <c r="AI139" s="36"/>
      <c r="AJ139" s="36"/>
      <c r="AK139" s="17">
        <f t="shared" ref="AK139:AK146" si="19">AD139/$AD$147</f>
        <v>0</v>
      </c>
      <c r="AL139" s="188">
        <v>130</v>
      </c>
    </row>
    <row r="140" spans="1:38" s="23" customFormat="1" ht="11.25" customHeight="1" outlineLevel="1" x14ac:dyDescent="0.2">
      <c r="A140" s="53"/>
      <c r="B140" s="139"/>
      <c r="C140" s="146"/>
      <c r="D140" s="147" t="str">
        <f>IFERROR(VLOOKUP(C140,'Material Comprado'!$B$3:$E$419,2,),"")</f>
        <v/>
      </c>
      <c r="E140" s="52"/>
      <c r="F140" s="158">
        <v>0</v>
      </c>
      <c r="G140" s="51"/>
      <c r="H140" s="148">
        <f t="shared" si="16"/>
        <v>12000</v>
      </c>
      <c r="I140" s="148">
        <f>'Dados de Entrada'!$K$9</f>
        <v>500</v>
      </c>
      <c r="J140" s="50">
        <f>'Dados de Entrada'!$M$9</f>
        <v>1</v>
      </c>
      <c r="K140" s="49"/>
      <c r="L140" s="37"/>
      <c r="M140" s="47"/>
      <c r="N140" s="150" t="str">
        <f>IFERROR(VLOOKUP(C140,'Custo Hora'!$B$3:$D$75,2,),"")</f>
        <v/>
      </c>
      <c r="O140" s="47"/>
      <c r="P140" s="145"/>
      <c r="Q140" s="183"/>
      <c r="R140" s="48"/>
      <c r="S140" s="47"/>
      <c r="T140" s="37"/>
      <c r="U140" s="37"/>
      <c r="V140" s="46" t="str">
        <f>IFERROR((VLOOKUP(C140,'Material Comprado'!$B$2:$E$439,4,FALSE)),"0")</f>
        <v>0</v>
      </c>
      <c r="W140" s="37">
        <f t="shared" si="17"/>
        <v>0</v>
      </c>
      <c r="X140" s="45"/>
      <c r="Y140" s="44"/>
      <c r="Z140" s="44"/>
      <c r="AA140" s="43"/>
      <c r="AB140" s="42" t="str">
        <f>IFERROR(((P140*VLOOKUP(C140,'Custo Hora'!$B$3:$D$75,3,)/60)*F140),"0")</f>
        <v>0</v>
      </c>
      <c r="AC140" s="42" t="str">
        <f>IFERROR(((Q140*VLOOKUP(C140,'Custo Hora'!$B$3:$D$75,3,))/(I140/J140)),"0")</f>
        <v>0</v>
      </c>
      <c r="AD140" s="41">
        <f t="shared" si="18"/>
        <v>0</v>
      </c>
      <c r="AE140" s="40"/>
      <c r="AF140" s="39"/>
      <c r="AG140" s="38"/>
      <c r="AH140" s="37"/>
      <c r="AI140" s="36"/>
      <c r="AJ140" s="36"/>
      <c r="AK140" s="17">
        <f t="shared" si="19"/>
        <v>0</v>
      </c>
      <c r="AL140" s="188">
        <v>131</v>
      </c>
    </row>
    <row r="141" spans="1:38" s="23" customFormat="1" ht="11.25" customHeight="1" outlineLevel="1" x14ac:dyDescent="0.2">
      <c r="A141" s="53"/>
      <c r="B141" s="139"/>
      <c r="C141" s="146"/>
      <c r="D141" s="147" t="str">
        <f>IFERROR(VLOOKUP(C141,'Material Comprado'!$B$3:$E$419,2,),"")</f>
        <v/>
      </c>
      <c r="E141" s="52"/>
      <c r="F141" s="158">
        <v>0</v>
      </c>
      <c r="G141" s="51"/>
      <c r="H141" s="148">
        <f t="shared" si="16"/>
        <v>12000</v>
      </c>
      <c r="I141" s="148">
        <f>'Dados de Entrada'!$K$9</f>
        <v>500</v>
      </c>
      <c r="J141" s="50">
        <f>'Dados de Entrada'!$M$9</f>
        <v>1</v>
      </c>
      <c r="K141" s="49"/>
      <c r="L141" s="37"/>
      <c r="M141" s="47"/>
      <c r="N141" s="150" t="str">
        <f>IFERROR(VLOOKUP(C141,'Custo Hora'!$B$3:$D$75,2,),"")</f>
        <v/>
      </c>
      <c r="O141" s="47"/>
      <c r="P141" s="145"/>
      <c r="Q141" s="183"/>
      <c r="R141" s="48"/>
      <c r="S141" s="47"/>
      <c r="T141" s="37"/>
      <c r="U141" s="37"/>
      <c r="V141" s="46" t="str">
        <f>IFERROR((VLOOKUP(C141,'Material Comprado'!$B$2:$E$439,4,FALSE)),"0")</f>
        <v>0</v>
      </c>
      <c r="W141" s="37">
        <f t="shared" si="17"/>
        <v>0</v>
      </c>
      <c r="X141" s="45"/>
      <c r="Y141" s="44"/>
      <c r="Z141" s="44"/>
      <c r="AA141" s="43"/>
      <c r="AB141" s="42" t="str">
        <f>IFERROR(((P141*VLOOKUP(C141,'Custo Hora'!$B$3:$D$75,3,)/60)*F141),"0")</f>
        <v>0</v>
      </c>
      <c r="AC141" s="42" t="str">
        <f>IFERROR(((Q141*VLOOKUP(C141,'Custo Hora'!$B$3:$D$75,3,))/(I141/J141)),"0")</f>
        <v>0</v>
      </c>
      <c r="AD141" s="41">
        <f t="shared" si="18"/>
        <v>0</v>
      </c>
      <c r="AE141" s="40"/>
      <c r="AF141" s="39"/>
      <c r="AG141" s="38"/>
      <c r="AH141" s="37"/>
      <c r="AI141" s="36"/>
      <c r="AJ141" s="36"/>
      <c r="AK141" s="17">
        <f t="shared" si="19"/>
        <v>0</v>
      </c>
      <c r="AL141" s="188">
        <v>132</v>
      </c>
    </row>
    <row r="142" spans="1:38" s="23" customFormat="1" ht="11.25" customHeight="1" outlineLevel="1" x14ac:dyDescent="0.2">
      <c r="A142" s="53"/>
      <c r="B142" s="139"/>
      <c r="C142" s="146"/>
      <c r="D142" s="147" t="str">
        <f>IFERROR(VLOOKUP(C142,'Material Comprado'!$B$3:$E$419,2,),"")</f>
        <v/>
      </c>
      <c r="E142" s="52"/>
      <c r="F142" s="158">
        <v>0</v>
      </c>
      <c r="G142" s="51"/>
      <c r="H142" s="148">
        <f t="shared" si="16"/>
        <v>12000</v>
      </c>
      <c r="I142" s="148">
        <f>'Dados de Entrada'!$K$9</f>
        <v>500</v>
      </c>
      <c r="J142" s="50">
        <f>'Dados de Entrada'!$M$9</f>
        <v>1</v>
      </c>
      <c r="K142" s="49"/>
      <c r="L142" s="37"/>
      <c r="M142" s="47"/>
      <c r="N142" s="150" t="str">
        <f>IFERROR(VLOOKUP(C142,'Custo Hora'!$B$3:$D$75,2,),"")</f>
        <v/>
      </c>
      <c r="O142" s="47"/>
      <c r="P142" s="145"/>
      <c r="Q142" s="183"/>
      <c r="R142" s="48"/>
      <c r="S142" s="47"/>
      <c r="T142" s="37"/>
      <c r="U142" s="37"/>
      <c r="V142" s="46" t="str">
        <f>IFERROR((VLOOKUP(C142,'Material Comprado'!$B$2:$E$439,4,FALSE)),"0")</f>
        <v>0</v>
      </c>
      <c r="W142" s="37">
        <f t="shared" si="17"/>
        <v>0</v>
      </c>
      <c r="X142" s="45"/>
      <c r="Y142" s="44"/>
      <c r="Z142" s="44"/>
      <c r="AA142" s="43"/>
      <c r="AB142" s="42" t="str">
        <f>IFERROR(((P142*VLOOKUP(C142,'Custo Hora'!$B$3:$D$75,3,)/60)*F142),"0")</f>
        <v>0</v>
      </c>
      <c r="AC142" s="42" t="str">
        <f>IFERROR(((Q142*VLOOKUP(C142,'Custo Hora'!$B$3:$D$75,3,))/(I142/J142)),"0")</f>
        <v>0</v>
      </c>
      <c r="AD142" s="41">
        <f t="shared" si="18"/>
        <v>0</v>
      </c>
      <c r="AE142" s="40"/>
      <c r="AF142" s="39"/>
      <c r="AG142" s="38"/>
      <c r="AH142" s="37"/>
      <c r="AI142" s="36"/>
      <c r="AJ142" s="36"/>
      <c r="AK142" s="17">
        <f t="shared" si="19"/>
        <v>0</v>
      </c>
      <c r="AL142" s="188">
        <v>133</v>
      </c>
    </row>
    <row r="143" spans="1:38" s="23" customFormat="1" ht="11.25" customHeight="1" outlineLevel="1" x14ac:dyDescent="0.2">
      <c r="A143" s="53"/>
      <c r="B143" s="139"/>
      <c r="C143" s="146"/>
      <c r="D143" s="147" t="str">
        <f>IFERROR(VLOOKUP(C143,'Material Comprado'!$B$3:$E$419,2,),"")</f>
        <v/>
      </c>
      <c r="E143" s="52"/>
      <c r="F143" s="158">
        <v>0</v>
      </c>
      <c r="G143" s="51"/>
      <c r="H143" s="148">
        <f t="shared" si="16"/>
        <v>12000</v>
      </c>
      <c r="I143" s="148">
        <f>'Dados de Entrada'!$K$9</f>
        <v>500</v>
      </c>
      <c r="J143" s="50">
        <f>'Dados de Entrada'!$M$9</f>
        <v>1</v>
      </c>
      <c r="K143" s="49"/>
      <c r="L143" s="37"/>
      <c r="M143" s="47"/>
      <c r="N143" s="150" t="str">
        <f>IFERROR(VLOOKUP(C143,'Custo Hora'!$B$3:$D$75,2,),"")</f>
        <v/>
      </c>
      <c r="O143" s="47"/>
      <c r="P143" s="145"/>
      <c r="Q143" s="183"/>
      <c r="R143" s="48"/>
      <c r="S143" s="47"/>
      <c r="T143" s="37"/>
      <c r="U143" s="37"/>
      <c r="V143" s="46" t="str">
        <f>IFERROR((VLOOKUP(C143,'Material Comprado'!$B$2:$E$439,4,FALSE)),"0")</f>
        <v>0</v>
      </c>
      <c r="W143" s="37">
        <f t="shared" si="17"/>
        <v>0</v>
      </c>
      <c r="X143" s="45"/>
      <c r="Y143" s="44"/>
      <c r="Z143" s="44"/>
      <c r="AA143" s="43"/>
      <c r="AB143" s="42" t="str">
        <f>IFERROR(((P143*VLOOKUP(C143,'Custo Hora'!$B$3:$D$75,3,)/60)*F143),"0")</f>
        <v>0</v>
      </c>
      <c r="AC143" s="42" t="str">
        <f>IFERROR(((Q143*VLOOKUP(C143,'Custo Hora'!$B$3:$D$75,3,))/(I143/J143)),"0")</f>
        <v>0</v>
      </c>
      <c r="AD143" s="41">
        <f t="shared" si="18"/>
        <v>0</v>
      </c>
      <c r="AE143" s="40"/>
      <c r="AF143" s="39"/>
      <c r="AG143" s="38"/>
      <c r="AH143" s="37"/>
      <c r="AI143" s="36"/>
      <c r="AJ143" s="36"/>
      <c r="AK143" s="17">
        <f t="shared" si="19"/>
        <v>0</v>
      </c>
      <c r="AL143" s="188">
        <v>134</v>
      </c>
    </row>
    <row r="144" spans="1:38" s="23" customFormat="1" ht="11.25" customHeight="1" outlineLevel="1" x14ac:dyDescent="0.2">
      <c r="A144" s="53"/>
      <c r="B144" s="139"/>
      <c r="C144" s="146"/>
      <c r="D144" s="147" t="str">
        <f>IFERROR(VLOOKUP(C144,'Material Comprado'!$B$3:$E$419,2,),"")</f>
        <v/>
      </c>
      <c r="E144" s="52"/>
      <c r="F144" s="158">
        <v>0</v>
      </c>
      <c r="G144" s="51"/>
      <c r="H144" s="148">
        <f t="shared" si="16"/>
        <v>12000</v>
      </c>
      <c r="I144" s="148">
        <f>'Dados de Entrada'!$K$9</f>
        <v>500</v>
      </c>
      <c r="J144" s="50">
        <f>'Dados de Entrada'!$M$9</f>
        <v>1</v>
      </c>
      <c r="K144" s="49"/>
      <c r="L144" s="37"/>
      <c r="M144" s="47"/>
      <c r="N144" s="150" t="str">
        <f>IFERROR(VLOOKUP(C144,'Custo Hora'!$B$3:$D$75,2,),"")</f>
        <v/>
      </c>
      <c r="O144" s="47"/>
      <c r="P144" s="145"/>
      <c r="Q144" s="183"/>
      <c r="R144" s="48"/>
      <c r="S144" s="47"/>
      <c r="T144" s="37"/>
      <c r="U144" s="37"/>
      <c r="V144" s="46" t="str">
        <f>IFERROR((VLOOKUP(C144,'Material Comprado'!$B$2:$E$439,4,FALSE)),"0")</f>
        <v>0</v>
      </c>
      <c r="W144" s="37">
        <f t="shared" si="17"/>
        <v>0</v>
      </c>
      <c r="X144" s="45"/>
      <c r="Y144" s="44"/>
      <c r="Z144" s="44"/>
      <c r="AA144" s="43"/>
      <c r="AB144" s="42" t="str">
        <f>IFERROR(((P144*VLOOKUP(C144,'Custo Hora'!$B$3:$D$75,3,)/60)*F144),"0")</f>
        <v>0</v>
      </c>
      <c r="AC144" s="42" t="str">
        <f>IFERROR(((Q144*VLOOKUP(C144,'Custo Hora'!$B$3:$D$75,3,))/(I144/J144)),"0")</f>
        <v>0</v>
      </c>
      <c r="AD144" s="41">
        <f t="shared" si="18"/>
        <v>0</v>
      </c>
      <c r="AE144" s="40"/>
      <c r="AF144" s="39"/>
      <c r="AG144" s="38"/>
      <c r="AH144" s="37"/>
      <c r="AI144" s="36"/>
      <c r="AJ144" s="36"/>
      <c r="AK144" s="17">
        <f t="shared" si="19"/>
        <v>0</v>
      </c>
      <c r="AL144" s="188">
        <v>135</v>
      </c>
    </row>
    <row r="145" spans="1:38" s="23" customFormat="1" ht="11.25" customHeight="1" outlineLevel="1" x14ac:dyDescent="0.2">
      <c r="A145" s="53"/>
      <c r="B145" s="139"/>
      <c r="C145" s="146"/>
      <c r="D145" s="147" t="str">
        <f>IFERROR(VLOOKUP(C145,'Material Comprado'!$B$3:$E$419,2,),"")</f>
        <v/>
      </c>
      <c r="E145" s="52"/>
      <c r="F145" s="158">
        <v>0</v>
      </c>
      <c r="G145" s="51"/>
      <c r="H145" s="148">
        <f t="shared" si="16"/>
        <v>12000</v>
      </c>
      <c r="I145" s="148">
        <f>'Dados de Entrada'!$K$9</f>
        <v>500</v>
      </c>
      <c r="J145" s="50">
        <f>'Dados de Entrada'!$M$9</f>
        <v>1</v>
      </c>
      <c r="K145" s="49"/>
      <c r="L145" s="37"/>
      <c r="M145" s="47"/>
      <c r="N145" s="150" t="str">
        <f>IFERROR(VLOOKUP(C145,'Custo Hora'!$B$3:$D$75,2,),"")</f>
        <v/>
      </c>
      <c r="O145" s="47"/>
      <c r="P145" s="145"/>
      <c r="Q145" s="183"/>
      <c r="R145" s="48"/>
      <c r="S145" s="47"/>
      <c r="T145" s="37"/>
      <c r="U145" s="37"/>
      <c r="V145" s="46" t="str">
        <f>IFERROR((VLOOKUP(C145,'Material Comprado'!$B$2:$E$439,4,FALSE)),"0")</f>
        <v>0</v>
      </c>
      <c r="W145" s="37">
        <f t="shared" si="17"/>
        <v>0</v>
      </c>
      <c r="X145" s="45"/>
      <c r="Y145" s="44"/>
      <c r="Z145" s="44"/>
      <c r="AA145" s="43"/>
      <c r="AB145" s="42" t="str">
        <f>IFERROR(((P145*VLOOKUP(C145,'Custo Hora'!$B$3:$D$75,3,)/60)*F145),"0")</f>
        <v>0</v>
      </c>
      <c r="AC145" s="42" t="str">
        <f>IFERROR(((Q145*VLOOKUP(C145,'Custo Hora'!$B$3:$D$75,3,))/(I145/J145)),"0")</f>
        <v>0</v>
      </c>
      <c r="AD145" s="41">
        <f t="shared" si="18"/>
        <v>0</v>
      </c>
      <c r="AE145" s="40"/>
      <c r="AF145" s="39"/>
      <c r="AG145" s="38"/>
      <c r="AH145" s="37"/>
      <c r="AI145" s="36"/>
      <c r="AJ145" s="36"/>
      <c r="AK145" s="17">
        <f t="shared" si="19"/>
        <v>0</v>
      </c>
      <c r="AL145" s="188">
        <v>136</v>
      </c>
    </row>
    <row r="146" spans="1:38" s="23" customFormat="1" ht="11.25" customHeight="1" outlineLevel="1" thickBot="1" x14ac:dyDescent="0.25">
      <c r="A146" s="53"/>
      <c r="B146" s="139"/>
      <c r="C146" s="146"/>
      <c r="D146" s="147" t="str">
        <f>IFERROR(VLOOKUP(C146,'Material Comprado'!$B$3:$E$419,2,),"")</f>
        <v/>
      </c>
      <c r="E146" s="52"/>
      <c r="F146" s="158">
        <v>0</v>
      </c>
      <c r="G146" s="51"/>
      <c r="H146" s="148">
        <f t="shared" si="16"/>
        <v>12000</v>
      </c>
      <c r="I146" s="148">
        <f>'Dados de Entrada'!$K$9</f>
        <v>500</v>
      </c>
      <c r="J146" s="50">
        <f>'Dados de Entrada'!$M$9</f>
        <v>1</v>
      </c>
      <c r="K146" s="49"/>
      <c r="L146" s="37"/>
      <c r="M146" s="47"/>
      <c r="N146" s="150" t="str">
        <f>IFERROR(VLOOKUP(C146,'Custo Hora'!$B$3:$D$75,2,),"")</f>
        <v/>
      </c>
      <c r="O146" s="47"/>
      <c r="P146" s="145"/>
      <c r="Q146" s="183"/>
      <c r="R146" s="48"/>
      <c r="S146" s="47"/>
      <c r="T146" s="37"/>
      <c r="U146" s="37"/>
      <c r="V146" s="46" t="str">
        <f>IFERROR((VLOOKUP(C146,'Material Comprado'!$B$2:$E$439,4,FALSE)),"0")</f>
        <v>0</v>
      </c>
      <c r="W146" s="37">
        <f t="shared" si="17"/>
        <v>0</v>
      </c>
      <c r="X146" s="45"/>
      <c r="Y146" s="44"/>
      <c r="Z146" s="44"/>
      <c r="AA146" s="43"/>
      <c r="AB146" s="42" t="str">
        <f>IFERROR(((P146*VLOOKUP(C146,'Custo Hora'!$B$3:$D$75,3,)/60)*F146),"0")</f>
        <v>0</v>
      </c>
      <c r="AC146" s="42" t="str">
        <f>IFERROR(((Q146*VLOOKUP(C146,'Custo Hora'!$B$3:$D$75,3,))/(I146/J146)),"0")</f>
        <v>0</v>
      </c>
      <c r="AD146" s="41">
        <f t="shared" si="18"/>
        <v>0</v>
      </c>
      <c r="AE146" s="40"/>
      <c r="AF146" s="39"/>
      <c r="AG146" s="38"/>
      <c r="AH146" s="37"/>
      <c r="AI146" s="36"/>
      <c r="AJ146" s="36"/>
      <c r="AK146" s="17">
        <f t="shared" si="19"/>
        <v>0</v>
      </c>
      <c r="AL146" s="188">
        <v>137</v>
      </c>
    </row>
    <row r="147" spans="1:38" s="23" customFormat="1" ht="22.5" customHeight="1" thickBot="1" x14ac:dyDescent="0.25">
      <c r="A147" s="35">
        <f>A10</f>
        <v>0</v>
      </c>
      <c r="B147" s="35" t="str">
        <f>B10</f>
        <v>1</v>
      </c>
      <c r="C147" s="138" t="s">
        <v>208</v>
      </c>
      <c r="D147" s="35" t="str">
        <f t="shared" ref="D147:M147" si="20">D10</f>
        <v>TOMADA DE FORCA - 75Y60/P37  D</v>
      </c>
      <c r="E147" s="35" t="str">
        <f t="shared" si="20"/>
        <v>PC</v>
      </c>
      <c r="F147" s="35">
        <f t="shared" si="20"/>
        <v>1</v>
      </c>
      <c r="G147" s="35">
        <f t="shared" si="20"/>
        <v>0</v>
      </c>
      <c r="H147" s="35">
        <f t="shared" si="20"/>
        <v>12000</v>
      </c>
      <c r="I147" s="35">
        <f t="shared" si="20"/>
        <v>500</v>
      </c>
      <c r="J147" s="35">
        <f t="shared" si="20"/>
        <v>1</v>
      </c>
      <c r="K147" s="35">
        <f t="shared" si="20"/>
        <v>0</v>
      </c>
      <c r="L147" s="35">
        <f t="shared" si="20"/>
        <v>0</v>
      </c>
      <c r="M147" s="35">
        <f t="shared" si="20"/>
        <v>0</v>
      </c>
      <c r="N147" s="34"/>
      <c r="O147" s="33">
        <f t="shared" ref="O147:U147" si="21">SUM(O10:O146)</f>
        <v>0</v>
      </c>
      <c r="P147" s="32">
        <f t="shared" si="21"/>
        <v>124.66</v>
      </c>
      <c r="Q147" s="32">
        <f t="shared" si="21"/>
        <v>19.829999999999998</v>
      </c>
      <c r="R147" s="32">
        <f t="shared" si="21"/>
        <v>0</v>
      </c>
      <c r="S147" s="32">
        <f t="shared" si="21"/>
        <v>0</v>
      </c>
      <c r="T147" s="32">
        <f t="shared" si="21"/>
        <v>0</v>
      </c>
      <c r="U147" s="32">
        <f t="shared" si="21"/>
        <v>0</v>
      </c>
      <c r="V147" s="32"/>
      <c r="W147" s="32">
        <f t="shared" ref="W147:AB147" si="22">SUM(W10:W146)</f>
        <v>394.95064560000009</v>
      </c>
      <c r="X147" s="31">
        <f t="shared" si="22"/>
        <v>0</v>
      </c>
      <c r="Y147" s="30">
        <f t="shared" si="22"/>
        <v>0</v>
      </c>
      <c r="Z147" s="30">
        <f t="shared" si="22"/>
        <v>0</v>
      </c>
      <c r="AA147" s="29">
        <f t="shared" si="22"/>
        <v>0</v>
      </c>
      <c r="AB147" s="28">
        <f t="shared" si="22"/>
        <v>193.76666666666668</v>
      </c>
      <c r="AC147" s="28">
        <f>SUM(AC10:AC146)</f>
        <v>3.7660000000000009</v>
      </c>
      <c r="AD147" s="28">
        <f>SUM(AD10:AD146)</f>
        <v>592.4833122666671</v>
      </c>
      <c r="AE147" s="27"/>
      <c r="AF147" s="26"/>
      <c r="AG147" s="25"/>
      <c r="AH147" s="25"/>
      <c r="AI147" s="25"/>
      <c r="AJ147" s="24"/>
      <c r="AK147" s="17">
        <f>SUM(AK10:AK146)</f>
        <v>0.99999999999999967</v>
      </c>
    </row>
    <row r="148" spans="1:38" ht="11.25" customHeight="1" x14ac:dyDescent="0.2">
      <c r="E148" s="16"/>
      <c r="F148" s="16"/>
    </row>
  </sheetData>
  <autoFilter ref="A9:AL147" xr:uid="{00000000-0009-0000-0000-000001000000}">
    <sortState xmlns:xlrd2="http://schemas.microsoft.com/office/spreadsheetml/2017/richdata2" ref="A10:AL146">
      <sortCondition ref="AL9:AL147"/>
    </sortState>
  </autoFilter>
  <conditionalFormatting sqref="R10:U146">
    <cfRule type="expression" dxfId="5" priority="1553">
      <formula>$G10="P"</formula>
    </cfRule>
    <cfRule type="expression" dxfId="4" priority="1554">
      <formula>$G10=1</formula>
    </cfRule>
  </conditionalFormatting>
  <conditionalFormatting sqref="P11:P13 L10:N146">
    <cfRule type="expression" dxfId="3" priority="1555">
      <formula>$G10="M"</formula>
    </cfRule>
  </conditionalFormatting>
  <conditionalFormatting sqref="O10:O146">
    <cfRule type="expression" dxfId="2" priority="742">
      <formula>#REF!="M"</formula>
    </cfRule>
  </conditionalFormatting>
  <conditionalFormatting sqref="P10:Q10 V11:V13 Q11:Q146">
    <cfRule type="expression" dxfId="1" priority="740">
      <formula>#REF!="M"</formula>
    </cfRule>
  </conditionalFormatting>
  <conditionalFormatting sqref="P14:P146">
    <cfRule type="expression" dxfId="0" priority="741">
      <formula>$I14="M"</formula>
    </cfRule>
  </conditionalFormatting>
  <conditionalFormatting sqref="AK147">
    <cfRule type="dataBar" priority="74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{09B6C652-A726-4275-B532-F96FBAEA6F00}</x14:id>
        </ext>
      </extLst>
    </cfRule>
    <cfRule type="colorScale" priority="748">
      <colorScale>
        <cfvo type="min"/>
        <cfvo type="max"/>
        <color rgb="FFFCFCFF"/>
        <color rgb="FFF8696B"/>
      </colorScale>
    </cfRule>
  </conditionalFormatting>
  <conditionalFormatting sqref="AK148:AK63072 AK1:AK9">
    <cfRule type="dataBar" priority="285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2853">
      <colorScale>
        <cfvo type="min"/>
        <cfvo type="max"/>
        <color rgb="FFFCFCFF"/>
        <color rgb="FFF8696B"/>
      </colorScale>
    </cfRule>
  </conditionalFormatting>
  <conditionalFormatting sqref="AK10:AK146">
    <cfRule type="dataBar" priority="301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{0CE3B587-90B4-46A6-9749-FF03FAEBB71A}</x14:id>
        </ext>
      </extLst>
    </cfRule>
    <cfRule type="colorScale" priority="3015">
      <colorScale>
        <cfvo type="min"/>
        <cfvo type="max"/>
        <color rgb="FFFCFCFF"/>
        <color rgb="FFF8696B"/>
      </colorScale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620" scale="66" orientation="landscape" horizontalDpi="4294967295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9B6C652-A726-4275-B532-F96FBAEA6F00}">
            <x14:dataBar minLength="0" maxLength="100" negativeBarColorSameAsPositive="1" axisPosition="none">
              <x14:cfvo type="min"/>
              <x14:cfvo type="max"/>
            </x14:dataBar>
          </x14:cfRule>
          <xm:sqref>AK147</xm:sqref>
        </x14:conditionalFormatting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AK148:AK63072 AK1:AK9</xm:sqref>
        </x14:conditionalFormatting>
        <x14:conditionalFormatting xmlns:xm="http://schemas.microsoft.com/office/excel/2006/main">
          <x14:cfRule type="dataBar" id="{0CE3B587-90B4-46A6-9749-FF03FAEBB71A}">
            <x14:dataBar minLength="0" maxLength="100" negativeBarColorSameAsPositive="1" axisPosition="none">
              <x14:cfvo type="min"/>
              <x14:cfvo type="max"/>
            </x14:dataBar>
          </x14:cfRule>
          <xm:sqref>AK10:AK146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5"/>
  <sheetViews>
    <sheetView topLeftCell="A10" workbookViewId="0">
      <selection activeCell="A31" sqref="A31:XFD31"/>
    </sheetView>
  </sheetViews>
  <sheetFormatPr defaultColWidth="9.109375" defaultRowHeight="13.2" x14ac:dyDescent="0.25"/>
  <cols>
    <col min="1" max="1" width="4.109375" style="1" customWidth="1"/>
    <col min="2" max="2" width="13.88671875" style="1" customWidth="1"/>
    <col min="3" max="3" width="65.5546875" style="1" customWidth="1"/>
    <col min="4" max="4" width="12.109375" style="1" bestFit="1" customWidth="1"/>
    <col min="5" max="16384" width="9.109375" style="1"/>
  </cols>
  <sheetData>
    <row r="1" spans="2:4" ht="13.8" thickBot="1" x14ac:dyDescent="0.3"/>
    <row r="2" spans="2:4" ht="15.6" thickBot="1" x14ac:dyDescent="0.3">
      <c r="B2" s="15" t="s">
        <v>3</v>
      </c>
      <c r="C2" s="15" t="s">
        <v>2</v>
      </c>
      <c r="D2" s="14" t="s">
        <v>59</v>
      </c>
    </row>
    <row r="3" spans="2:4" x14ac:dyDescent="0.25">
      <c r="B3" s="13" t="s">
        <v>58</v>
      </c>
      <c r="C3" s="12" t="s">
        <v>57</v>
      </c>
      <c r="D3" s="11">
        <v>60</v>
      </c>
    </row>
    <row r="4" spans="2:4" x14ac:dyDescent="0.25">
      <c r="B4" s="10" t="s">
        <v>8</v>
      </c>
      <c r="C4" s="4" t="s">
        <v>7</v>
      </c>
      <c r="D4" s="9">
        <v>80</v>
      </c>
    </row>
    <row r="5" spans="2:4" x14ac:dyDescent="0.25">
      <c r="B5" s="137" t="s">
        <v>132</v>
      </c>
      <c r="C5" s="4" t="s">
        <v>142</v>
      </c>
      <c r="D5" s="9">
        <v>120</v>
      </c>
    </row>
    <row r="6" spans="2:4" x14ac:dyDescent="0.25">
      <c r="B6" s="137" t="s">
        <v>131</v>
      </c>
      <c r="C6" s="4" t="s">
        <v>138</v>
      </c>
      <c r="D6" s="9">
        <v>60</v>
      </c>
    </row>
    <row r="7" spans="2:4" x14ac:dyDescent="0.25">
      <c r="B7" s="10" t="s">
        <v>50</v>
      </c>
      <c r="C7" s="4" t="s">
        <v>49</v>
      </c>
      <c r="D7" s="9">
        <v>60</v>
      </c>
    </row>
    <row r="8" spans="2:4" x14ac:dyDescent="0.25">
      <c r="B8" s="10" t="s">
        <v>16</v>
      </c>
      <c r="C8" s="4" t="s">
        <v>15</v>
      </c>
      <c r="D8" s="9">
        <v>60</v>
      </c>
    </row>
    <row r="9" spans="2:4" x14ac:dyDescent="0.25">
      <c r="B9" s="10" t="s">
        <v>19</v>
      </c>
      <c r="C9" s="4" t="s">
        <v>18</v>
      </c>
      <c r="D9" s="9">
        <v>60</v>
      </c>
    </row>
    <row r="10" spans="2:4" x14ac:dyDescent="0.25">
      <c r="B10" s="10" t="s">
        <v>36</v>
      </c>
      <c r="C10" s="4" t="s">
        <v>146</v>
      </c>
      <c r="D10" s="9">
        <v>100</v>
      </c>
    </row>
    <row r="11" spans="2:4" x14ac:dyDescent="0.25">
      <c r="B11" s="137" t="s">
        <v>147</v>
      </c>
      <c r="C11" s="4" t="s">
        <v>150</v>
      </c>
      <c r="D11" s="9">
        <v>100</v>
      </c>
    </row>
    <row r="12" spans="2:4" x14ac:dyDescent="0.25">
      <c r="B12" s="10" t="s">
        <v>143</v>
      </c>
      <c r="C12" s="4" t="s">
        <v>144</v>
      </c>
      <c r="D12" s="9">
        <v>120</v>
      </c>
    </row>
    <row r="13" spans="2:4" x14ac:dyDescent="0.25">
      <c r="B13" s="10" t="s">
        <v>48</v>
      </c>
      <c r="C13" s="4" t="s">
        <v>47</v>
      </c>
      <c r="D13" s="9">
        <v>120</v>
      </c>
    </row>
    <row r="14" spans="2:4" x14ac:dyDescent="0.25">
      <c r="B14" s="10" t="s">
        <v>165</v>
      </c>
      <c r="C14" s="4" t="s">
        <v>166</v>
      </c>
      <c r="D14" s="9">
        <v>120</v>
      </c>
    </row>
    <row r="15" spans="2:4" x14ac:dyDescent="0.25">
      <c r="B15" s="137" t="s">
        <v>135</v>
      </c>
      <c r="C15" s="4" t="s">
        <v>141</v>
      </c>
      <c r="D15" s="9">
        <v>120</v>
      </c>
    </row>
    <row r="16" spans="2:4" x14ac:dyDescent="0.25">
      <c r="B16" s="10" t="s">
        <v>29</v>
      </c>
      <c r="C16" s="4" t="s">
        <v>28</v>
      </c>
      <c r="D16" s="9">
        <v>120</v>
      </c>
    </row>
    <row r="17" spans="2:4" x14ac:dyDescent="0.25">
      <c r="B17" s="10" t="s">
        <v>27</v>
      </c>
      <c r="C17" s="4" t="s">
        <v>26</v>
      </c>
      <c r="D17" s="9">
        <v>120</v>
      </c>
    </row>
    <row r="18" spans="2:4" x14ac:dyDescent="0.25">
      <c r="B18" s="10" t="s">
        <v>46</v>
      </c>
      <c r="C18" s="4" t="s">
        <v>45</v>
      </c>
      <c r="D18" s="9">
        <v>120</v>
      </c>
    </row>
    <row r="19" spans="2:4" x14ac:dyDescent="0.25">
      <c r="B19" s="10" t="s">
        <v>25</v>
      </c>
      <c r="C19" s="4" t="s">
        <v>24</v>
      </c>
      <c r="D19" s="9">
        <v>60</v>
      </c>
    </row>
    <row r="20" spans="2:4" x14ac:dyDescent="0.25">
      <c r="B20" s="10" t="s">
        <v>42</v>
      </c>
      <c r="C20" s="4" t="s">
        <v>41</v>
      </c>
      <c r="D20" s="9">
        <v>60</v>
      </c>
    </row>
    <row r="21" spans="2:4" x14ac:dyDescent="0.25">
      <c r="B21" s="137" t="s">
        <v>134</v>
      </c>
      <c r="C21" s="4" t="s">
        <v>140</v>
      </c>
      <c r="D21" s="9">
        <v>80</v>
      </c>
    </row>
    <row r="22" spans="2:4" x14ac:dyDescent="0.25">
      <c r="B22" s="10" t="s">
        <v>112</v>
      </c>
      <c r="C22" s="4" t="s">
        <v>113</v>
      </c>
      <c r="D22" s="9">
        <v>80</v>
      </c>
    </row>
    <row r="23" spans="2:4" x14ac:dyDescent="0.25">
      <c r="B23" s="10" t="s">
        <v>33</v>
      </c>
      <c r="C23" s="4" t="s">
        <v>32</v>
      </c>
      <c r="D23" s="9">
        <v>80</v>
      </c>
    </row>
    <row r="24" spans="2:4" x14ac:dyDescent="0.25">
      <c r="B24" s="10" t="s">
        <v>12</v>
      </c>
      <c r="C24" s="4" t="s">
        <v>11</v>
      </c>
      <c r="D24" s="9">
        <v>80</v>
      </c>
    </row>
    <row r="25" spans="2:4" x14ac:dyDescent="0.25">
      <c r="B25" s="10" t="s">
        <v>35</v>
      </c>
      <c r="C25" s="4" t="s">
        <v>34</v>
      </c>
      <c r="D25" s="9">
        <v>80</v>
      </c>
    </row>
    <row r="26" spans="2:4" x14ac:dyDescent="0.25">
      <c r="B26" s="137" t="s">
        <v>148</v>
      </c>
      <c r="C26" s="4" t="s">
        <v>149</v>
      </c>
      <c r="D26" s="9">
        <v>80</v>
      </c>
    </row>
    <row r="27" spans="2:4" x14ac:dyDescent="0.25">
      <c r="B27" s="10" t="s">
        <v>124</v>
      </c>
      <c r="C27" s="4" t="s">
        <v>123</v>
      </c>
      <c r="D27" s="9">
        <v>100</v>
      </c>
    </row>
    <row r="28" spans="2:4" x14ac:dyDescent="0.25">
      <c r="B28" s="10" t="s">
        <v>178</v>
      </c>
      <c r="C28" s="4" t="s">
        <v>123</v>
      </c>
      <c r="D28" s="9">
        <v>100</v>
      </c>
    </row>
    <row r="29" spans="2:4" x14ac:dyDescent="0.25">
      <c r="B29" s="10" t="s">
        <v>40</v>
      </c>
      <c r="C29" s="4" t="s">
        <v>39</v>
      </c>
      <c r="D29" s="9">
        <v>0</v>
      </c>
    </row>
    <row r="30" spans="2:4" x14ac:dyDescent="0.25">
      <c r="B30" s="137" t="s">
        <v>129</v>
      </c>
      <c r="C30" s="4" t="s">
        <v>136</v>
      </c>
      <c r="D30" s="9">
        <v>60</v>
      </c>
    </row>
    <row r="31" spans="2:4" x14ac:dyDescent="0.25">
      <c r="B31" s="10" t="s">
        <v>56</v>
      </c>
      <c r="C31" s="4" t="s">
        <v>55</v>
      </c>
      <c r="D31" s="9">
        <v>60</v>
      </c>
    </row>
    <row r="32" spans="2:4" x14ac:dyDescent="0.25">
      <c r="B32" s="10" t="s">
        <v>52</v>
      </c>
      <c r="C32" s="4" t="s">
        <v>51</v>
      </c>
      <c r="D32" s="9">
        <v>80</v>
      </c>
    </row>
    <row r="33" spans="2:4" x14ac:dyDescent="0.25">
      <c r="B33" s="10" t="s">
        <v>38</v>
      </c>
      <c r="C33" s="4" t="s">
        <v>37</v>
      </c>
      <c r="D33" s="9">
        <v>70</v>
      </c>
    </row>
    <row r="34" spans="2:4" x14ac:dyDescent="0.25">
      <c r="B34" s="10" t="s">
        <v>14</v>
      </c>
      <c r="C34" s="4" t="s">
        <v>13</v>
      </c>
      <c r="D34" s="9">
        <v>70</v>
      </c>
    </row>
    <row r="35" spans="2:4" x14ac:dyDescent="0.25">
      <c r="B35" s="10" t="s">
        <v>17</v>
      </c>
      <c r="C35" s="4" t="s">
        <v>292</v>
      </c>
      <c r="D35" s="9">
        <v>80</v>
      </c>
    </row>
    <row r="36" spans="2:4" x14ac:dyDescent="0.25">
      <c r="B36" s="10" t="s">
        <v>111</v>
      </c>
      <c r="C36" s="4" t="s">
        <v>176</v>
      </c>
      <c r="D36" s="9">
        <v>80</v>
      </c>
    </row>
    <row r="37" spans="2:4" x14ac:dyDescent="0.25">
      <c r="B37" s="10" t="s">
        <v>44</v>
      </c>
      <c r="C37" s="4" t="s">
        <v>43</v>
      </c>
      <c r="D37" s="9">
        <v>80</v>
      </c>
    </row>
    <row r="38" spans="2:4" x14ac:dyDescent="0.25">
      <c r="B38" s="10" t="s">
        <v>23</v>
      </c>
      <c r="C38" s="4" t="s">
        <v>22</v>
      </c>
      <c r="D38" s="9">
        <v>80</v>
      </c>
    </row>
    <row r="39" spans="2:4" x14ac:dyDescent="0.25">
      <c r="B39" s="10" t="s">
        <v>21</v>
      </c>
      <c r="C39" s="4" t="s">
        <v>20</v>
      </c>
      <c r="D39" s="9">
        <v>80</v>
      </c>
    </row>
    <row r="40" spans="2:4" x14ac:dyDescent="0.25">
      <c r="B40" s="10" t="s">
        <v>31</v>
      </c>
      <c r="C40" s="4" t="s">
        <v>30</v>
      </c>
      <c r="D40" s="9">
        <v>80</v>
      </c>
    </row>
    <row r="41" spans="2:4" x14ac:dyDescent="0.25">
      <c r="B41" s="10" t="s">
        <v>114</v>
      </c>
      <c r="C41" s="4" t="s">
        <v>126</v>
      </c>
      <c r="D41" s="9">
        <v>80</v>
      </c>
    </row>
    <row r="42" spans="2:4" x14ac:dyDescent="0.25">
      <c r="B42" s="10" t="s">
        <v>107</v>
      </c>
      <c r="C42" s="4" t="s">
        <v>108</v>
      </c>
      <c r="D42" s="9">
        <v>80</v>
      </c>
    </row>
    <row r="43" spans="2:4" x14ac:dyDescent="0.25">
      <c r="B43" s="10" t="s">
        <v>6</v>
      </c>
      <c r="C43" s="4" t="s">
        <v>5</v>
      </c>
      <c r="D43" s="9">
        <v>60</v>
      </c>
    </row>
    <row r="44" spans="2:4" x14ac:dyDescent="0.25">
      <c r="B44" s="137" t="s">
        <v>130</v>
      </c>
      <c r="C44" s="4" t="s">
        <v>137</v>
      </c>
      <c r="D44" s="9">
        <v>80</v>
      </c>
    </row>
    <row r="45" spans="2:4" x14ac:dyDescent="0.25">
      <c r="B45" s="10" t="s">
        <v>54</v>
      </c>
      <c r="C45" s="4" t="s">
        <v>53</v>
      </c>
      <c r="D45" s="9">
        <v>60</v>
      </c>
    </row>
    <row r="46" spans="2:4" x14ac:dyDescent="0.25">
      <c r="B46" s="10" t="s">
        <v>211</v>
      </c>
      <c r="C46" s="4" t="s">
        <v>145</v>
      </c>
      <c r="D46" s="9">
        <v>100</v>
      </c>
    </row>
    <row r="47" spans="2:4" x14ac:dyDescent="0.25">
      <c r="B47" s="137" t="s">
        <v>167</v>
      </c>
      <c r="C47" s="4" t="s">
        <v>125</v>
      </c>
      <c r="D47" s="9">
        <v>100</v>
      </c>
    </row>
    <row r="48" spans="2:4" x14ac:dyDescent="0.25">
      <c r="B48" s="10" t="s">
        <v>168</v>
      </c>
      <c r="C48" s="4" t="s">
        <v>122</v>
      </c>
      <c r="D48" s="9">
        <v>100</v>
      </c>
    </row>
    <row r="49" spans="2:4" x14ac:dyDescent="0.25">
      <c r="B49" s="10" t="s">
        <v>169</v>
      </c>
      <c r="C49" s="4" t="s">
        <v>170</v>
      </c>
      <c r="D49" s="9">
        <v>100</v>
      </c>
    </row>
    <row r="50" spans="2:4" x14ac:dyDescent="0.25">
      <c r="B50" s="10" t="s">
        <v>172</v>
      </c>
      <c r="C50" s="4" t="s">
        <v>171</v>
      </c>
      <c r="D50" s="9">
        <v>100</v>
      </c>
    </row>
    <row r="51" spans="2:4" x14ac:dyDescent="0.25">
      <c r="B51" s="137" t="s">
        <v>174</v>
      </c>
      <c r="C51" s="4" t="s">
        <v>175</v>
      </c>
      <c r="D51" s="9">
        <v>100</v>
      </c>
    </row>
    <row r="52" spans="2:4" x14ac:dyDescent="0.25">
      <c r="B52" s="137" t="s">
        <v>133</v>
      </c>
      <c r="C52" s="4" t="s">
        <v>139</v>
      </c>
      <c r="D52" s="9">
        <v>100</v>
      </c>
    </row>
    <row r="53" spans="2:4" x14ac:dyDescent="0.25">
      <c r="B53" s="10" t="s">
        <v>109</v>
      </c>
      <c r="C53" s="4" t="s">
        <v>110</v>
      </c>
      <c r="D53" s="9">
        <v>100</v>
      </c>
    </row>
    <row r="54" spans="2:4" x14ac:dyDescent="0.25">
      <c r="B54" s="10" t="s">
        <v>10</v>
      </c>
      <c r="C54" s="4" t="s">
        <v>9</v>
      </c>
      <c r="D54" s="9">
        <v>100</v>
      </c>
    </row>
    <row r="55" spans="2:4" x14ac:dyDescent="0.25">
      <c r="B55" s="10" t="s">
        <v>177</v>
      </c>
      <c r="C55" s="4" t="s">
        <v>173</v>
      </c>
      <c r="D55" s="9">
        <v>100</v>
      </c>
    </row>
    <row r="56" spans="2:4" x14ac:dyDescent="0.25">
      <c r="B56" s="10" t="s">
        <v>216</v>
      </c>
      <c r="C56" s="4" t="s">
        <v>293</v>
      </c>
      <c r="D56" s="9">
        <v>100</v>
      </c>
    </row>
    <row r="57" spans="2:4" x14ac:dyDescent="0.25">
      <c r="B57" s="10" t="s">
        <v>217</v>
      </c>
      <c r="C57" s="4" t="s">
        <v>294</v>
      </c>
      <c r="D57" s="9">
        <v>100</v>
      </c>
    </row>
    <row r="58" spans="2:4" x14ac:dyDescent="0.25">
      <c r="B58" s="10" t="s">
        <v>218</v>
      </c>
      <c r="C58" s="4" t="s">
        <v>295</v>
      </c>
      <c r="D58" s="9">
        <v>80</v>
      </c>
    </row>
    <row r="59" spans="2:4" x14ac:dyDescent="0.25">
      <c r="B59" s="10" t="s">
        <v>223</v>
      </c>
      <c r="C59" s="4" t="s">
        <v>296</v>
      </c>
      <c r="D59" s="9">
        <v>100</v>
      </c>
    </row>
    <row r="60" spans="2:4" x14ac:dyDescent="0.25">
      <c r="B60" s="10" t="s">
        <v>230</v>
      </c>
      <c r="C60" s="4" t="s">
        <v>297</v>
      </c>
      <c r="D60" s="9">
        <v>80</v>
      </c>
    </row>
    <row r="61" spans="2:4" x14ac:dyDescent="0.25">
      <c r="B61" s="10"/>
      <c r="C61" s="4"/>
      <c r="D61" s="9"/>
    </row>
    <row r="62" spans="2:4" x14ac:dyDescent="0.25">
      <c r="B62" s="10"/>
      <c r="C62" s="4"/>
      <c r="D62" s="9"/>
    </row>
    <row r="63" spans="2:4" x14ac:dyDescent="0.25">
      <c r="B63" s="10"/>
      <c r="C63" s="4"/>
      <c r="D63" s="9"/>
    </row>
    <row r="64" spans="2:4" x14ac:dyDescent="0.25">
      <c r="B64" s="10"/>
      <c r="C64" s="4"/>
      <c r="D64" s="9"/>
    </row>
    <row r="65" spans="2:4" x14ac:dyDescent="0.25">
      <c r="B65" s="10"/>
      <c r="C65" s="4"/>
      <c r="D65" s="9"/>
    </row>
    <row r="66" spans="2:4" x14ac:dyDescent="0.25">
      <c r="B66" s="10"/>
      <c r="C66" s="4"/>
      <c r="D66" s="9"/>
    </row>
    <row r="67" spans="2:4" x14ac:dyDescent="0.25">
      <c r="B67" s="10"/>
      <c r="C67" s="4"/>
      <c r="D67" s="9"/>
    </row>
    <row r="68" spans="2:4" x14ac:dyDescent="0.25">
      <c r="B68" s="10"/>
      <c r="C68" s="4"/>
      <c r="D68" s="9"/>
    </row>
    <row r="69" spans="2:4" x14ac:dyDescent="0.25">
      <c r="B69" s="10"/>
      <c r="C69" s="4"/>
      <c r="D69" s="9"/>
    </row>
    <row r="70" spans="2:4" x14ac:dyDescent="0.25">
      <c r="B70" s="10"/>
      <c r="C70" s="4"/>
      <c r="D70" s="9"/>
    </row>
    <row r="71" spans="2:4" x14ac:dyDescent="0.25">
      <c r="B71" s="10"/>
      <c r="C71" s="4"/>
      <c r="D71" s="9"/>
    </row>
    <row r="72" spans="2:4" x14ac:dyDescent="0.25">
      <c r="B72" s="10"/>
      <c r="C72" s="133"/>
      <c r="D72" s="9"/>
    </row>
    <row r="73" spans="2:4" x14ac:dyDescent="0.25">
      <c r="B73" s="10"/>
      <c r="C73" s="4"/>
      <c r="D73" s="9"/>
    </row>
    <row r="74" spans="2:4" x14ac:dyDescent="0.25">
      <c r="B74" s="10"/>
      <c r="C74" s="4"/>
      <c r="D74" s="9"/>
    </row>
    <row r="75" spans="2:4" ht="13.8" thickBot="1" x14ac:dyDescent="0.3">
      <c r="B75" s="8"/>
      <c r="C75" s="7"/>
      <c r="D75" s="6"/>
    </row>
  </sheetData>
  <autoFilter ref="B2:D60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421"/>
  <sheetViews>
    <sheetView zoomScale="110" zoomScaleNormal="110" workbookViewId="0">
      <selection activeCell="B49" sqref="B49"/>
    </sheetView>
  </sheetViews>
  <sheetFormatPr defaultColWidth="9.109375" defaultRowHeight="13.2" x14ac:dyDescent="0.25"/>
  <cols>
    <col min="1" max="1" width="5.33203125" style="1" bestFit="1" customWidth="1"/>
    <col min="2" max="2" width="22.5546875" style="1" customWidth="1"/>
    <col min="3" max="3" width="68.6640625" style="1" customWidth="1"/>
    <col min="4" max="4" width="8.6640625" style="1" customWidth="1"/>
    <col min="5" max="5" width="17.33203125" style="1" bestFit="1" customWidth="1"/>
    <col min="6" max="16384" width="9.109375" style="1"/>
  </cols>
  <sheetData>
    <row r="2" spans="1:5" x14ac:dyDescent="0.25">
      <c r="A2" s="5" t="s">
        <v>4</v>
      </c>
      <c r="B2" s="5" t="s">
        <v>3</v>
      </c>
      <c r="C2" s="5" t="s">
        <v>2</v>
      </c>
      <c r="D2" s="5" t="s">
        <v>1</v>
      </c>
      <c r="E2" s="5" t="s">
        <v>0</v>
      </c>
    </row>
    <row r="3" spans="1:5" x14ac:dyDescent="0.25">
      <c r="A3" s="4" t="s">
        <v>183</v>
      </c>
      <c r="B3" s="155" t="s">
        <v>208</v>
      </c>
      <c r="C3" s="4" t="s">
        <v>241</v>
      </c>
      <c r="D3" s="136" t="s">
        <v>179</v>
      </c>
      <c r="E3" s="184">
        <v>0</v>
      </c>
    </row>
    <row r="4" spans="1:5" x14ac:dyDescent="0.25">
      <c r="A4" s="4" t="s">
        <v>184</v>
      </c>
      <c r="B4" s="155">
        <v>75202199001</v>
      </c>
      <c r="C4" s="4" t="s">
        <v>242</v>
      </c>
      <c r="D4" s="136" t="s">
        <v>181</v>
      </c>
      <c r="E4" s="184">
        <v>0</v>
      </c>
    </row>
    <row r="5" spans="1:5" x14ac:dyDescent="0.25">
      <c r="A5" s="4" t="s">
        <v>185</v>
      </c>
      <c r="B5" s="155" t="s">
        <v>209</v>
      </c>
      <c r="C5" s="4" t="s">
        <v>189</v>
      </c>
      <c r="D5" s="136" t="s">
        <v>181</v>
      </c>
      <c r="E5" s="184">
        <v>3.0830000000000002</v>
      </c>
    </row>
    <row r="6" spans="1:5" x14ac:dyDescent="0.25">
      <c r="A6" s="4" t="s">
        <v>185</v>
      </c>
      <c r="B6" s="155" t="s">
        <v>210</v>
      </c>
      <c r="C6" s="4" t="s">
        <v>190</v>
      </c>
      <c r="D6" s="136" t="s">
        <v>179</v>
      </c>
      <c r="E6" s="184">
        <v>0</v>
      </c>
    </row>
    <row r="7" spans="1:5" x14ac:dyDescent="0.25">
      <c r="A7" s="4" t="s">
        <v>186</v>
      </c>
      <c r="B7" s="185" t="s">
        <v>212</v>
      </c>
      <c r="C7" s="4" t="s">
        <v>243</v>
      </c>
      <c r="D7" s="136" t="s">
        <v>179</v>
      </c>
      <c r="E7" s="184">
        <v>11.638999999999999</v>
      </c>
    </row>
    <row r="8" spans="1:5" x14ac:dyDescent="0.25">
      <c r="A8" s="4" t="s">
        <v>184</v>
      </c>
      <c r="B8" s="155" t="s">
        <v>213</v>
      </c>
      <c r="C8" s="4" t="s">
        <v>244</v>
      </c>
      <c r="D8" s="136" t="s">
        <v>179</v>
      </c>
      <c r="E8" s="184">
        <v>0</v>
      </c>
    </row>
    <row r="9" spans="1:5" x14ac:dyDescent="0.25">
      <c r="A9" s="4" t="s">
        <v>185</v>
      </c>
      <c r="B9" s="155" t="s">
        <v>214</v>
      </c>
      <c r="C9" s="4" t="s">
        <v>245</v>
      </c>
      <c r="D9" s="136" t="s">
        <v>181</v>
      </c>
      <c r="E9" s="184">
        <v>3.0830000000000002</v>
      </c>
    </row>
    <row r="10" spans="1:5" x14ac:dyDescent="0.25">
      <c r="A10" s="4" t="s">
        <v>185</v>
      </c>
      <c r="B10" s="155" t="s">
        <v>215</v>
      </c>
      <c r="C10" s="4" t="s">
        <v>246</v>
      </c>
      <c r="D10" s="136" t="s">
        <v>179</v>
      </c>
      <c r="E10" s="184">
        <v>0</v>
      </c>
    </row>
    <row r="11" spans="1:5" x14ac:dyDescent="0.25">
      <c r="A11" s="4" t="s">
        <v>186</v>
      </c>
      <c r="B11" s="186" t="s">
        <v>219</v>
      </c>
      <c r="C11" s="4" t="s">
        <v>188</v>
      </c>
      <c r="D11" s="136" t="s">
        <v>179</v>
      </c>
      <c r="E11" s="184">
        <v>19.908000000000001</v>
      </c>
    </row>
    <row r="12" spans="1:5" x14ac:dyDescent="0.25">
      <c r="A12" s="4" t="s">
        <v>184</v>
      </c>
      <c r="B12" s="155" t="s">
        <v>220</v>
      </c>
      <c r="C12" s="4" t="s">
        <v>247</v>
      </c>
      <c r="D12" s="136" t="s">
        <v>181</v>
      </c>
      <c r="E12" s="184">
        <v>0</v>
      </c>
    </row>
    <row r="13" spans="1:5" x14ac:dyDescent="0.25">
      <c r="A13" s="4" t="s">
        <v>185</v>
      </c>
      <c r="B13" s="155">
        <v>75593004001</v>
      </c>
      <c r="C13" s="4" t="s">
        <v>248</v>
      </c>
      <c r="D13" s="136" t="s">
        <v>179</v>
      </c>
      <c r="E13" s="184">
        <v>72.16</v>
      </c>
    </row>
    <row r="14" spans="1:5" x14ac:dyDescent="0.25">
      <c r="A14" s="4" t="s">
        <v>184</v>
      </c>
      <c r="B14" s="155">
        <v>75206199001</v>
      </c>
      <c r="C14" s="4" t="s">
        <v>249</v>
      </c>
      <c r="D14" s="136" t="s">
        <v>181</v>
      </c>
      <c r="E14" s="184">
        <v>0</v>
      </c>
    </row>
    <row r="15" spans="1:5" x14ac:dyDescent="0.25">
      <c r="A15" s="4" t="s">
        <v>185</v>
      </c>
      <c r="B15" s="155">
        <v>75593009006</v>
      </c>
      <c r="C15" s="4" t="s">
        <v>250</v>
      </c>
      <c r="D15" s="136" t="s">
        <v>179</v>
      </c>
      <c r="E15" s="184">
        <v>24.366</v>
      </c>
    </row>
    <row r="16" spans="1:5" x14ac:dyDescent="0.25">
      <c r="A16" s="4" t="s">
        <v>184</v>
      </c>
      <c r="B16" s="155" t="s">
        <v>221</v>
      </c>
      <c r="C16" s="4" t="s">
        <v>251</v>
      </c>
      <c r="D16" s="136" t="s">
        <v>181</v>
      </c>
      <c r="E16" s="184">
        <v>0</v>
      </c>
    </row>
    <row r="17" spans="1:5" x14ac:dyDescent="0.25">
      <c r="A17" s="4" t="s">
        <v>185</v>
      </c>
      <c r="B17" s="155" t="s">
        <v>222</v>
      </c>
      <c r="C17" s="4" t="s">
        <v>252</v>
      </c>
      <c r="D17" s="136" t="s">
        <v>179</v>
      </c>
      <c r="E17" s="184">
        <v>0</v>
      </c>
    </row>
    <row r="18" spans="1:5" x14ac:dyDescent="0.25">
      <c r="A18" s="4" t="s">
        <v>186</v>
      </c>
      <c r="B18" s="186" t="s">
        <v>224</v>
      </c>
      <c r="C18" s="4" t="s">
        <v>253</v>
      </c>
      <c r="D18" s="136" t="s">
        <v>179</v>
      </c>
      <c r="E18" s="184">
        <v>6.827</v>
      </c>
    </row>
    <row r="19" spans="1:5" x14ac:dyDescent="0.25">
      <c r="A19" s="4" t="s">
        <v>185</v>
      </c>
      <c r="B19" s="155" t="s">
        <v>225</v>
      </c>
      <c r="C19" s="4" t="s">
        <v>254</v>
      </c>
      <c r="D19" s="136" t="s">
        <v>181</v>
      </c>
      <c r="E19" s="187">
        <v>2</v>
      </c>
    </row>
    <row r="20" spans="1:5" x14ac:dyDescent="0.25">
      <c r="A20" s="4" t="s">
        <v>184</v>
      </c>
      <c r="B20" s="155" t="s">
        <v>226</v>
      </c>
      <c r="C20" s="4" t="s">
        <v>255</v>
      </c>
      <c r="D20" s="136" t="s">
        <v>179</v>
      </c>
      <c r="E20" s="184">
        <v>0</v>
      </c>
    </row>
    <row r="21" spans="1:5" x14ac:dyDescent="0.25">
      <c r="A21" s="4" t="s">
        <v>185</v>
      </c>
      <c r="B21" s="155">
        <v>75212199001</v>
      </c>
      <c r="C21" s="4" t="s">
        <v>256</v>
      </c>
      <c r="D21" s="136" t="s">
        <v>179</v>
      </c>
      <c r="E21" s="184">
        <v>5.25</v>
      </c>
    </row>
    <row r="22" spans="1:5" x14ac:dyDescent="0.25">
      <c r="A22" s="4" t="s">
        <v>184</v>
      </c>
      <c r="B22" s="155" t="s">
        <v>227</v>
      </c>
      <c r="C22" s="4" t="s">
        <v>257</v>
      </c>
      <c r="D22" s="136" t="s">
        <v>181</v>
      </c>
      <c r="E22" s="184">
        <v>0</v>
      </c>
    </row>
    <row r="23" spans="1:5" x14ac:dyDescent="0.25">
      <c r="A23" s="4" t="s">
        <v>185</v>
      </c>
      <c r="B23" s="155" t="s">
        <v>228</v>
      </c>
      <c r="C23" s="4" t="s">
        <v>258</v>
      </c>
      <c r="D23" s="136" t="s">
        <v>181</v>
      </c>
      <c r="E23" s="184">
        <v>10.96</v>
      </c>
    </row>
    <row r="24" spans="1:5" x14ac:dyDescent="0.25">
      <c r="A24" s="4" t="s">
        <v>185</v>
      </c>
      <c r="B24" s="155" t="s">
        <v>229</v>
      </c>
      <c r="C24" s="4" t="s">
        <v>259</v>
      </c>
      <c r="D24" s="136" t="s">
        <v>179</v>
      </c>
      <c r="E24" s="184">
        <v>0</v>
      </c>
    </row>
    <row r="25" spans="1:5" x14ac:dyDescent="0.25">
      <c r="A25" s="4" t="s">
        <v>186</v>
      </c>
      <c r="B25" s="186" t="s">
        <v>231</v>
      </c>
      <c r="C25" s="4" t="s">
        <v>260</v>
      </c>
      <c r="D25" s="136" t="s">
        <v>179</v>
      </c>
      <c r="E25" s="184">
        <v>97.534000000000006</v>
      </c>
    </row>
    <row r="26" spans="1:5" x14ac:dyDescent="0.25">
      <c r="A26" s="4" t="s">
        <v>184</v>
      </c>
      <c r="B26" s="155" t="s">
        <v>232</v>
      </c>
      <c r="C26" s="4" t="s">
        <v>261</v>
      </c>
      <c r="D26" s="136" t="s">
        <v>179</v>
      </c>
      <c r="E26" s="184">
        <v>0</v>
      </c>
    </row>
    <row r="27" spans="1:5" x14ac:dyDescent="0.25">
      <c r="A27" s="4" t="s">
        <v>185</v>
      </c>
      <c r="B27" s="155" t="s">
        <v>233</v>
      </c>
      <c r="C27" s="4" t="s">
        <v>262</v>
      </c>
      <c r="D27" s="136" t="s">
        <v>181</v>
      </c>
      <c r="E27" s="184">
        <v>7.36</v>
      </c>
    </row>
    <row r="28" spans="1:5" x14ac:dyDescent="0.25">
      <c r="A28" s="4" t="s">
        <v>185</v>
      </c>
      <c r="B28" s="155" t="s">
        <v>234</v>
      </c>
      <c r="C28" s="4" t="s">
        <v>263</v>
      </c>
      <c r="D28" s="136" t="s">
        <v>179</v>
      </c>
      <c r="E28" s="184">
        <v>0</v>
      </c>
    </row>
    <row r="29" spans="1:5" x14ac:dyDescent="0.25">
      <c r="A29" s="4" t="s">
        <v>186</v>
      </c>
      <c r="B29" s="186" t="s">
        <v>235</v>
      </c>
      <c r="C29" s="4" t="s">
        <v>264</v>
      </c>
      <c r="D29" s="136" t="s">
        <v>179</v>
      </c>
      <c r="E29" s="184">
        <v>20.16</v>
      </c>
    </row>
    <row r="30" spans="1:5" x14ac:dyDescent="0.25">
      <c r="A30" s="4" t="s">
        <v>184</v>
      </c>
      <c r="B30" s="155" t="s">
        <v>236</v>
      </c>
      <c r="C30" s="4" t="s">
        <v>265</v>
      </c>
      <c r="D30" s="136" t="s">
        <v>179</v>
      </c>
      <c r="E30" s="184">
        <v>0</v>
      </c>
    </row>
    <row r="31" spans="1:5" x14ac:dyDescent="0.25">
      <c r="A31" s="4" t="s">
        <v>185</v>
      </c>
      <c r="B31" s="186" t="s">
        <v>237</v>
      </c>
      <c r="C31" s="4" t="s">
        <v>203</v>
      </c>
      <c r="D31" s="136" t="s">
        <v>179</v>
      </c>
      <c r="E31" s="184">
        <v>15</v>
      </c>
    </row>
    <row r="32" spans="1:5" x14ac:dyDescent="0.25">
      <c r="A32" s="4" t="s">
        <v>184</v>
      </c>
      <c r="B32" s="155" t="s">
        <v>238</v>
      </c>
      <c r="C32" s="4" t="s">
        <v>266</v>
      </c>
      <c r="D32" s="136" t="s">
        <v>179</v>
      </c>
      <c r="E32" s="184">
        <v>0</v>
      </c>
    </row>
    <row r="33" spans="1:5" x14ac:dyDescent="0.25">
      <c r="A33" s="4" t="s">
        <v>185</v>
      </c>
      <c r="B33" s="155">
        <v>75595002001</v>
      </c>
      <c r="C33" s="4" t="s">
        <v>267</v>
      </c>
      <c r="D33" s="136" t="s">
        <v>179</v>
      </c>
      <c r="E33" s="184">
        <v>6.9850000000000003</v>
      </c>
    </row>
    <row r="34" spans="1:5" x14ac:dyDescent="0.25">
      <c r="A34" s="4" t="s">
        <v>185</v>
      </c>
      <c r="B34" s="155" t="s">
        <v>239</v>
      </c>
      <c r="C34" s="4" t="s">
        <v>268</v>
      </c>
      <c r="D34" s="136" t="s">
        <v>181</v>
      </c>
      <c r="E34" s="187">
        <v>2</v>
      </c>
    </row>
    <row r="35" spans="1:5" x14ac:dyDescent="0.25">
      <c r="A35" s="4" t="s">
        <v>184</v>
      </c>
      <c r="B35" s="155" t="s">
        <v>240</v>
      </c>
      <c r="C35" s="4" t="s">
        <v>269</v>
      </c>
      <c r="D35" s="136" t="s">
        <v>179</v>
      </c>
      <c r="E35" s="184">
        <v>0</v>
      </c>
    </row>
    <row r="36" spans="1:5" x14ac:dyDescent="0.25">
      <c r="A36" s="4" t="s">
        <v>185</v>
      </c>
      <c r="B36" s="155">
        <v>10795</v>
      </c>
      <c r="C36" s="4" t="s">
        <v>192</v>
      </c>
      <c r="D36" s="136" t="s">
        <v>179</v>
      </c>
      <c r="E36" s="184">
        <v>4.8000000000000001E-2</v>
      </c>
    </row>
    <row r="37" spans="1:5" x14ac:dyDescent="0.25">
      <c r="A37" s="4" t="s">
        <v>185</v>
      </c>
      <c r="B37" s="155">
        <v>10797</v>
      </c>
      <c r="C37" s="4" t="s">
        <v>270</v>
      </c>
      <c r="D37" s="136" t="s">
        <v>181</v>
      </c>
      <c r="E37" s="184">
        <v>21.344999999999999</v>
      </c>
    </row>
    <row r="38" spans="1:5" x14ac:dyDescent="0.25">
      <c r="A38" s="4" t="s">
        <v>185</v>
      </c>
      <c r="B38" s="155">
        <v>14970</v>
      </c>
      <c r="C38" s="4" t="s">
        <v>193</v>
      </c>
      <c r="D38" s="136" t="s">
        <v>180</v>
      </c>
      <c r="E38" s="184">
        <v>29.425999999999998</v>
      </c>
    </row>
    <row r="39" spans="1:5" x14ac:dyDescent="0.25">
      <c r="A39" s="4" t="s">
        <v>185</v>
      </c>
      <c r="B39" s="155">
        <v>1513</v>
      </c>
      <c r="C39" s="4" t="s">
        <v>271</v>
      </c>
      <c r="D39" s="136" t="s">
        <v>180</v>
      </c>
      <c r="E39" s="184">
        <v>6.0019999999999998</v>
      </c>
    </row>
    <row r="40" spans="1:5" x14ac:dyDescent="0.25">
      <c r="A40" s="4" t="s">
        <v>185</v>
      </c>
      <c r="B40" s="155">
        <v>16536</v>
      </c>
      <c r="C40" s="4" t="s">
        <v>194</v>
      </c>
      <c r="D40" s="136" t="s">
        <v>181</v>
      </c>
      <c r="E40" s="184">
        <v>49.003</v>
      </c>
    </row>
    <row r="41" spans="1:5" x14ac:dyDescent="0.25">
      <c r="A41" s="4" t="s">
        <v>185</v>
      </c>
      <c r="B41" s="155">
        <v>16816</v>
      </c>
      <c r="C41" s="4" t="s">
        <v>195</v>
      </c>
      <c r="D41" s="136" t="s">
        <v>182</v>
      </c>
      <c r="E41" s="184">
        <v>28.556000000000001</v>
      </c>
    </row>
    <row r="42" spans="1:5" x14ac:dyDescent="0.25">
      <c r="A42" s="4" t="s">
        <v>185</v>
      </c>
      <c r="B42" s="155">
        <v>70601008008</v>
      </c>
      <c r="C42" s="4" t="s">
        <v>191</v>
      </c>
      <c r="D42" s="136" t="s">
        <v>179</v>
      </c>
      <c r="E42" s="184">
        <v>1.7849999999999999</v>
      </c>
    </row>
    <row r="43" spans="1:5" x14ac:dyDescent="0.25">
      <c r="A43" s="4" t="s">
        <v>185</v>
      </c>
      <c r="B43" s="155">
        <v>8890021001</v>
      </c>
      <c r="C43" s="4" t="s">
        <v>272</v>
      </c>
      <c r="D43" s="136" t="s">
        <v>181</v>
      </c>
      <c r="E43" s="184">
        <v>0.33</v>
      </c>
    </row>
    <row r="44" spans="1:5" x14ac:dyDescent="0.25">
      <c r="A44" s="4" t="s">
        <v>185</v>
      </c>
      <c r="B44" s="155">
        <v>8890021002</v>
      </c>
      <c r="C44" s="4" t="s">
        <v>196</v>
      </c>
      <c r="D44" s="136" t="s">
        <v>181</v>
      </c>
      <c r="E44" s="184">
        <v>0.39100000000000001</v>
      </c>
    </row>
    <row r="45" spans="1:5" x14ac:dyDescent="0.25">
      <c r="A45" s="4" t="s">
        <v>185</v>
      </c>
      <c r="B45" s="155">
        <v>8890021003</v>
      </c>
      <c r="C45" s="4" t="s">
        <v>197</v>
      </c>
      <c r="D45" s="136" t="s">
        <v>181</v>
      </c>
      <c r="E45" s="184">
        <v>0.61499999999999999</v>
      </c>
    </row>
    <row r="46" spans="1:5" x14ac:dyDescent="0.25">
      <c r="A46" s="4" t="s">
        <v>185</v>
      </c>
      <c r="B46" s="155">
        <v>8890021007</v>
      </c>
      <c r="C46" s="4" t="s">
        <v>198</v>
      </c>
      <c r="D46" s="136" t="s">
        <v>181</v>
      </c>
      <c r="E46" s="184">
        <v>0.19</v>
      </c>
    </row>
    <row r="47" spans="1:5" x14ac:dyDescent="0.25">
      <c r="A47" s="4" t="s">
        <v>185</v>
      </c>
      <c r="B47" s="155">
        <v>99602006004</v>
      </c>
      <c r="C47" s="4" t="s">
        <v>273</v>
      </c>
      <c r="D47" s="136" t="s">
        <v>179</v>
      </c>
      <c r="E47" s="184">
        <v>0.29699999999999999</v>
      </c>
    </row>
    <row r="48" spans="1:5" x14ac:dyDescent="0.25">
      <c r="A48" s="4" t="s">
        <v>185</v>
      </c>
      <c r="B48" s="155">
        <v>99602009006</v>
      </c>
      <c r="C48" s="4" t="s">
        <v>274</v>
      </c>
      <c r="D48" s="136" t="s">
        <v>181</v>
      </c>
      <c r="E48" s="184">
        <v>0.43</v>
      </c>
    </row>
    <row r="49" spans="1:5" x14ac:dyDescent="0.25">
      <c r="A49" s="4" t="s">
        <v>185</v>
      </c>
      <c r="B49" s="155">
        <v>99602012006</v>
      </c>
      <c r="C49" s="4" t="s">
        <v>275</v>
      </c>
      <c r="D49" s="136" t="s">
        <v>181</v>
      </c>
      <c r="E49" s="187">
        <v>0.9</v>
      </c>
    </row>
    <row r="50" spans="1:5" x14ac:dyDescent="0.25">
      <c r="A50" s="4" t="s">
        <v>185</v>
      </c>
      <c r="B50" s="155">
        <v>99609002002</v>
      </c>
      <c r="C50" s="4" t="s">
        <v>199</v>
      </c>
      <c r="D50" s="136" t="s">
        <v>179</v>
      </c>
      <c r="E50" s="184">
        <v>0.68200000000000005</v>
      </c>
    </row>
    <row r="51" spans="1:5" x14ac:dyDescent="0.25">
      <c r="A51" s="4" t="s">
        <v>185</v>
      </c>
      <c r="B51" s="155">
        <v>99612001002</v>
      </c>
      <c r="C51" s="4" t="s">
        <v>276</v>
      </c>
      <c r="D51" s="136" t="s">
        <v>179</v>
      </c>
      <c r="E51" s="184">
        <v>74.63</v>
      </c>
    </row>
    <row r="52" spans="1:5" x14ac:dyDescent="0.25">
      <c r="A52" s="4" t="s">
        <v>184</v>
      </c>
      <c r="B52" s="155">
        <v>99601001003</v>
      </c>
      <c r="C52" s="4" t="s">
        <v>277</v>
      </c>
      <c r="D52" s="136" t="s">
        <v>181</v>
      </c>
      <c r="E52" s="184">
        <v>5.5E-2</v>
      </c>
    </row>
    <row r="53" spans="1:5" x14ac:dyDescent="0.25">
      <c r="A53" s="4" t="s">
        <v>184</v>
      </c>
      <c r="B53" s="155">
        <v>99601001013</v>
      </c>
      <c r="C53" s="4" t="s">
        <v>278</v>
      </c>
      <c r="D53" s="136" t="s">
        <v>179</v>
      </c>
      <c r="E53" s="184">
        <v>0.24</v>
      </c>
    </row>
    <row r="54" spans="1:5" x14ac:dyDescent="0.25">
      <c r="A54" s="4" t="s">
        <v>184</v>
      </c>
      <c r="B54" s="155">
        <v>99601001018</v>
      </c>
      <c r="C54" s="4" t="s">
        <v>279</v>
      </c>
      <c r="D54" s="136" t="s">
        <v>179</v>
      </c>
      <c r="E54" s="184">
        <v>0.33800000000000002</v>
      </c>
    </row>
    <row r="55" spans="1:5" x14ac:dyDescent="0.25">
      <c r="A55" s="4" t="s">
        <v>184</v>
      </c>
      <c r="B55" s="155">
        <v>99601002010</v>
      </c>
      <c r="C55" s="4" t="s">
        <v>280</v>
      </c>
      <c r="D55" s="136" t="s">
        <v>179</v>
      </c>
      <c r="E55" s="184">
        <v>2.6640000000000001</v>
      </c>
    </row>
    <row r="56" spans="1:5" x14ac:dyDescent="0.25">
      <c r="A56" s="4" t="s">
        <v>184</v>
      </c>
      <c r="B56" s="155">
        <v>99601004013</v>
      </c>
      <c r="C56" s="4" t="s">
        <v>281</v>
      </c>
      <c r="D56" s="136" t="s">
        <v>179</v>
      </c>
      <c r="E56" s="184">
        <v>3.6669999999999998</v>
      </c>
    </row>
    <row r="57" spans="1:5" x14ac:dyDescent="0.25">
      <c r="A57" s="4" t="s">
        <v>184</v>
      </c>
      <c r="B57" s="155">
        <v>99602002008</v>
      </c>
      <c r="C57" s="4" t="s">
        <v>282</v>
      </c>
      <c r="D57" s="136" t="s">
        <v>179</v>
      </c>
      <c r="E57" s="184">
        <v>0.76300000000000001</v>
      </c>
    </row>
    <row r="58" spans="1:5" x14ac:dyDescent="0.25">
      <c r="A58" s="4" t="s">
        <v>184</v>
      </c>
      <c r="B58" s="155">
        <v>99602003015</v>
      </c>
      <c r="C58" s="4" t="s">
        <v>283</v>
      </c>
      <c r="D58" s="136" t="s">
        <v>179</v>
      </c>
      <c r="E58" s="184">
        <v>1.03</v>
      </c>
    </row>
    <row r="59" spans="1:5" x14ac:dyDescent="0.25">
      <c r="A59" s="4" t="s">
        <v>184</v>
      </c>
      <c r="B59" s="155">
        <v>99602004002</v>
      </c>
      <c r="C59" s="4" t="s">
        <v>284</v>
      </c>
      <c r="D59" s="136" t="s">
        <v>179</v>
      </c>
      <c r="E59" s="184">
        <v>0.61299999999999999</v>
      </c>
    </row>
    <row r="60" spans="1:5" x14ac:dyDescent="0.25">
      <c r="A60" s="4" t="s">
        <v>184</v>
      </c>
      <c r="B60" s="155">
        <v>99602009008</v>
      </c>
      <c r="C60" s="4" t="s">
        <v>285</v>
      </c>
      <c r="D60" s="136" t="s">
        <v>181</v>
      </c>
      <c r="E60" s="184">
        <v>0.156</v>
      </c>
    </row>
    <row r="61" spans="1:5" x14ac:dyDescent="0.25">
      <c r="A61" s="4" t="s">
        <v>184</v>
      </c>
      <c r="B61" s="155">
        <v>99602015004</v>
      </c>
      <c r="C61" s="4" t="s">
        <v>286</v>
      </c>
      <c r="D61" s="136" t="s">
        <v>179</v>
      </c>
      <c r="E61" s="184">
        <v>0.77600000000000002</v>
      </c>
    </row>
    <row r="62" spans="1:5" ht="13.2" customHeight="1" x14ac:dyDescent="0.25">
      <c r="A62" s="4" t="s">
        <v>184</v>
      </c>
      <c r="B62" s="155">
        <v>99602015009</v>
      </c>
      <c r="C62" s="4" t="s">
        <v>287</v>
      </c>
      <c r="D62" s="136" t="s">
        <v>179</v>
      </c>
      <c r="E62" s="184">
        <v>0.995</v>
      </c>
    </row>
    <row r="63" spans="1:5" x14ac:dyDescent="0.25">
      <c r="A63" s="4" t="s">
        <v>184</v>
      </c>
      <c r="B63" s="155">
        <v>99602015011</v>
      </c>
      <c r="C63" s="4" t="s">
        <v>286</v>
      </c>
      <c r="D63" s="136" t="s">
        <v>179</v>
      </c>
      <c r="E63" s="184">
        <v>0.65900000000000003</v>
      </c>
    </row>
    <row r="64" spans="1:5" x14ac:dyDescent="0.25">
      <c r="A64" s="4" t="s">
        <v>184</v>
      </c>
      <c r="B64" s="155">
        <v>99602022001</v>
      </c>
      <c r="C64" s="4" t="s">
        <v>288</v>
      </c>
      <c r="D64" s="136" t="s">
        <v>179</v>
      </c>
      <c r="E64" s="184">
        <v>0.1</v>
      </c>
    </row>
    <row r="65" spans="1:5" x14ac:dyDescent="0.25">
      <c r="A65" s="4" t="s">
        <v>184</v>
      </c>
      <c r="B65" s="155">
        <v>99604003007</v>
      </c>
      <c r="C65" s="4" t="s">
        <v>289</v>
      </c>
      <c r="D65" s="136" t="s">
        <v>181</v>
      </c>
      <c r="E65" s="184">
        <v>8.1180000000000003</v>
      </c>
    </row>
    <row r="66" spans="1:5" x14ac:dyDescent="0.25">
      <c r="A66" s="4" t="s">
        <v>184</v>
      </c>
      <c r="B66" s="155">
        <v>99604003016</v>
      </c>
      <c r="C66" s="4" t="s">
        <v>290</v>
      </c>
      <c r="D66" s="136" t="s">
        <v>181</v>
      </c>
      <c r="E66" s="184">
        <v>7.4560000000000004</v>
      </c>
    </row>
    <row r="67" spans="1:5" x14ac:dyDescent="0.25">
      <c r="A67" s="4" t="s">
        <v>184</v>
      </c>
      <c r="B67" s="155">
        <v>99604004011</v>
      </c>
      <c r="C67" s="4" t="s">
        <v>201</v>
      </c>
      <c r="D67" s="136" t="s">
        <v>181</v>
      </c>
      <c r="E67" s="184">
        <v>11.11</v>
      </c>
    </row>
    <row r="68" spans="1:5" x14ac:dyDescent="0.25">
      <c r="A68" s="4" t="s">
        <v>184</v>
      </c>
      <c r="B68" s="155">
        <v>99605001006</v>
      </c>
      <c r="C68" s="4" t="s">
        <v>291</v>
      </c>
      <c r="D68" s="136" t="s">
        <v>179</v>
      </c>
      <c r="E68" s="184">
        <v>4.7770000000000001</v>
      </c>
    </row>
    <row r="69" spans="1:5" x14ac:dyDescent="0.25">
      <c r="A69" s="4" t="s">
        <v>184</v>
      </c>
      <c r="B69" s="155">
        <v>99606001001</v>
      </c>
      <c r="C69" s="4" t="s">
        <v>200</v>
      </c>
      <c r="D69" s="136" t="s">
        <v>181</v>
      </c>
      <c r="E69" s="184">
        <v>2.6619999999999999</v>
      </c>
    </row>
    <row r="70" spans="1:5" x14ac:dyDescent="0.25">
      <c r="A70" s="4" t="s">
        <v>184</v>
      </c>
      <c r="B70" s="155">
        <v>99606001003</v>
      </c>
      <c r="C70" s="4" t="s">
        <v>204</v>
      </c>
      <c r="D70" s="136" t="s">
        <v>179</v>
      </c>
      <c r="E70" s="184">
        <v>4.13</v>
      </c>
    </row>
    <row r="71" spans="1:5" x14ac:dyDescent="0.25">
      <c r="A71" s="4" t="s">
        <v>184</v>
      </c>
      <c r="B71" s="155">
        <v>99608001001</v>
      </c>
      <c r="C71" s="4" t="s">
        <v>202</v>
      </c>
      <c r="D71" s="136" t="s">
        <v>181</v>
      </c>
      <c r="E71" s="184">
        <v>3.1859999999999999</v>
      </c>
    </row>
    <row r="72" spans="1:5" x14ac:dyDescent="0.25">
      <c r="A72" s="177"/>
      <c r="B72" s="155"/>
      <c r="C72" s="4"/>
      <c r="D72" s="136"/>
      <c r="E72" s="3"/>
    </row>
    <row r="73" spans="1:5" x14ac:dyDescent="0.25">
      <c r="A73" s="177"/>
      <c r="B73" s="155"/>
      <c r="C73" s="4"/>
      <c r="D73" s="136"/>
      <c r="E73" s="3"/>
    </row>
    <row r="74" spans="1:5" x14ac:dyDescent="0.25">
      <c r="A74" s="177"/>
      <c r="B74" s="155"/>
      <c r="C74" s="4"/>
      <c r="D74" s="136"/>
      <c r="E74" s="3"/>
    </row>
    <row r="75" spans="1:5" x14ac:dyDescent="0.25">
      <c r="A75" s="177"/>
      <c r="B75" s="155"/>
      <c r="C75" s="4"/>
      <c r="D75" s="136"/>
      <c r="E75" s="3"/>
    </row>
    <row r="76" spans="1:5" x14ac:dyDescent="0.25">
      <c r="A76" s="177"/>
      <c r="B76" s="155"/>
      <c r="C76" s="4"/>
      <c r="D76" s="136"/>
      <c r="E76" s="3"/>
    </row>
    <row r="77" spans="1:5" x14ac:dyDescent="0.25">
      <c r="A77" s="177"/>
      <c r="B77" s="155"/>
      <c r="C77" s="4"/>
      <c r="D77" s="136"/>
      <c r="E77" s="3"/>
    </row>
    <row r="78" spans="1:5" x14ac:dyDescent="0.25">
      <c r="A78" s="177"/>
      <c r="B78" s="155"/>
      <c r="C78" s="4"/>
      <c r="D78" s="136"/>
      <c r="E78" s="3"/>
    </row>
    <row r="79" spans="1:5" x14ac:dyDescent="0.25">
      <c r="A79" s="177"/>
      <c r="B79" s="155"/>
      <c r="C79" s="4"/>
      <c r="D79" s="136"/>
      <c r="E79" s="3"/>
    </row>
    <row r="80" spans="1:5" x14ac:dyDescent="0.25">
      <c r="A80" s="177"/>
      <c r="B80" s="155"/>
      <c r="C80" s="4"/>
      <c r="D80" s="136"/>
      <c r="E80" s="3"/>
    </row>
    <row r="81" spans="1:5" x14ac:dyDescent="0.25">
      <c r="A81" s="177"/>
      <c r="B81" s="155"/>
      <c r="C81" s="4"/>
      <c r="D81" s="136"/>
      <c r="E81" s="3"/>
    </row>
    <row r="82" spans="1:5" x14ac:dyDescent="0.25">
      <c r="A82" s="177"/>
      <c r="B82" s="155"/>
      <c r="C82" s="4"/>
      <c r="D82" s="136"/>
      <c r="E82" s="3"/>
    </row>
    <row r="83" spans="1:5" x14ac:dyDescent="0.25">
      <c r="A83" s="177"/>
      <c r="B83" s="155"/>
      <c r="C83" s="4"/>
      <c r="D83" s="136"/>
      <c r="E83" s="3"/>
    </row>
    <row r="84" spans="1:5" x14ac:dyDescent="0.25">
      <c r="A84" s="177"/>
      <c r="B84" s="155"/>
      <c r="C84" s="4"/>
      <c r="D84" s="136"/>
      <c r="E84" s="3"/>
    </row>
    <row r="85" spans="1:5" x14ac:dyDescent="0.25">
      <c r="A85" s="177"/>
      <c r="B85" s="155"/>
      <c r="C85" s="4"/>
      <c r="D85" s="136"/>
      <c r="E85" s="3"/>
    </row>
    <row r="86" spans="1:5" x14ac:dyDescent="0.25">
      <c r="A86" s="177"/>
      <c r="B86" s="155"/>
      <c r="C86" s="4"/>
      <c r="D86" s="136"/>
      <c r="E86" s="3"/>
    </row>
    <row r="87" spans="1:5" x14ac:dyDescent="0.25">
      <c r="A87" s="177"/>
      <c r="B87" s="155"/>
      <c r="C87" s="4"/>
      <c r="D87" s="136"/>
      <c r="E87" s="3"/>
    </row>
    <row r="88" spans="1:5" x14ac:dyDescent="0.25">
      <c r="A88" s="177"/>
      <c r="B88" s="155"/>
      <c r="C88" s="4"/>
      <c r="D88" s="136"/>
      <c r="E88" s="3"/>
    </row>
    <row r="89" spans="1:5" x14ac:dyDescent="0.25">
      <c r="A89" s="177"/>
      <c r="B89" s="155"/>
      <c r="C89" s="4"/>
      <c r="D89" s="136"/>
      <c r="E89" s="3"/>
    </row>
    <row r="90" spans="1:5" x14ac:dyDescent="0.25">
      <c r="A90" s="177"/>
      <c r="B90" s="155"/>
      <c r="C90" s="4"/>
      <c r="D90" s="136"/>
      <c r="E90" s="3"/>
    </row>
    <row r="91" spans="1:5" x14ac:dyDescent="0.25">
      <c r="A91" s="177"/>
      <c r="B91" s="155"/>
      <c r="C91" s="4"/>
      <c r="D91" s="136"/>
      <c r="E91" s="3"/>
    </row>
    <row r="92" spans="1:5" x14ac:dyDescent="0.25">
      <c r="A92" s="177"/>
      <c r="B92" s="155"/>
      <c r="C92" s="4"/>
      <c r="D92" s="136"/>
      <c r="E92" s="3"/>
    </row>
    <row r="93" spans="1:5" x14ac:dyDescent="0.25">
      <c r="A93" s="177"/>
      <c r="B93" s="155"/>
      <c r="C93" s="4"/>
      <c r="D93" s="136"/>
      <c r="E93" s="3"/>
    </row>
    <row r="94" spans="1:5" x14ac:dyDescent="0.25">
      <c r="A94" s="177"/>
      <c r="B94" s="155"/>
      <c r="C94" s="4"/>
      <c r="D94" s="136"/>
      <c r="E94" s="3"/>
    </row>
    <row r="95" spans="1:5" x14ac:dyDescent="0.25">
      <c r="A95" s="177"/>
      <c r="B95" s="155"/>
      <c r="C95" s="4"/>
      <c r="D95" s="136"/>
      <c r="E95" s="3"/>
    </row>
    <row r="96" spans="1:5" x14ac:dyDescent="0.25">
      <c r="A96" s="177"/>
      <c r="B96" s="155"/>
      <c r="C96" s="4"/>
      <c r="D96" s="136"/>
      <c r="E96" s="3"/>
    </row>
    <row r="97" spans="1:5" x14ac:dyDescent="0.25">
      <c r="A97" s="177"/>
      <c r="B97" s="155"/>
      <c r="C97" s="4"/>
      <c r="D97" s="136"/>
      <c r="E97" s="3"/>
    </row>
    <row r="98" spans="1:5" x14ac:dyDescent="0.25">
      <c r="A98" s="177"/>
      <c r="B98" s="155"/>
      <c r="C98" s="4"/>
      <c r="D98" s="136"/>
      <c r="E98" s="3"/>
    </row>
    <row r="99" spans="1:5" x14ac:dyDescent="0.25">
      <c r="A99" s="177"/>
      <c r="B99" s="155"/>
      <c r="C99" s="4"/>
      <c r="D99" s="136"/>
      <c r="E99" s="3"/>
    </row>
    <row r="100" spans="1:5" x14ac:dyDescent="0.25">
      <c r="A100" s="177"/>
      <c r="B100" s="155"/>
      <c r="C100" s="4"/>
      <c r="D100" s="136"/>
      <c r="E100" s="3"/>
    </row>
    <row r="101" spans="1:5" x14ac:dyDescent="0.25">
      <c r="A101" s="177"/>
      <c r="B101" s="155"/>
      <c r="C101" s="4"/>
      <c r="D101" s="136"/>
      <c r="E101" s="3"/>
    </row>
    <row r="102" spans="1:5" x14ac:dyDescent="0.25">
      <c r="A102" s="177"/>
      <c r="B102" s="155"/>
      <c r="C102" s="4"/>
      <c r="D102" s="136"/>
      <c r="E102" s="3"/>
    </row>
    <row r="103" spans="1:5" x14ac:dyDescent="0.25">
      <c r="A103" s="177"/>
      <c r="B103" s="155"/>
      <c r="C103" s="4"/>
      <c r="D103" s="136"/>
      <c r="E103" s="3"/>
    </row>
    <row r="104" spans="1:5" x14ac:dyDescent="0.25">
      <c r="A104" s="177"/>
      <c r="B104" s="155"/>
      <c r="C104" s="4"/>
      <c r="D104" s="136"/>
      <c r="E104" s="3"/>
    </row>
    <row r="105" spans="1:5" x14ac:dyDescent="0.25">
      <c r="A105" s="177"/>
      <c r="B105" s="155"/>
      <c r="C105" s="4"/>
      <c r="D105" s="136"/>
      <c r="E105" s="3"/>
    </row>
    <row r="106" spans="1:5" x14ac:dyDescent="0.25">
      <c r="A106" s="177"/>
      <c r="B106" s="155"/>
      <c r="C106" s="4"/>
      <c r="D106" s="136"/>
      <c r="E106" s="3"/>
    </row>
    <row r="107" spans="1:5" x14ac:dyDescent="0.25">
      <c r="A107" s="177"/>
      <c r="B107" s="155"/>
      <c r="C107" s="4"/>
      <c r="D107" s="136"/>
      <c r="E107" s="3"/>
    </row>
    <row r="108" spans="1:5" x14ac:dyDescent="0.25">
      <c r="A108" s="177"/>
      <c r="B108" s="155"/>
      <c r="C108" s="4"/>
      <c r="D108" s="136"/>
      <c r="E108" s="3"/>
    </row>
    <row r="109" spans="1:5" x14ac:dyDescent="0.25">
      <c r="A109" s="177"/>
      <c r="B109" s="155"/>
      <c r="C109" s="4"/>
      <c r="D109" s="136"/>
      <c r="E109" s="3"/>
    </row>
    <row r="110" spans="1:5" x14ac:dyDescent="0.25">
      <c r="A110" s="177"/>
      <c r="B110" s="155"/>
      <c r="C110" s="4"/>
      <c r="D110" s="136"/>
      <c r="E110" s="3"/>
    </row>
    <row r="111" spans="1:5" x14ac:dyDescent="0.25">
      <c r="A111" s="177"/>
      <c r="B111" s="155"/>
      <c r="C111" s="4"/>
      <c r="D111" s="136"/>
      <c r="E111" s="3"/>
    </row>
    <row r="112" spans="1:5" x14ac:dyDescent="0.25">
      <c r="A112" s="177"/>
      <c r="B112" s="155"/>
      <c r="C112" s="4"/>
      <c r="D112" s="136"/>
      <c r="E112" s="3"/>
    </row>
    <row r="113" spans="1:5" x14ac:dyDescent="0.25">
      <c r="A113" s="177"/>
      <c r="B113" s="155"/>
      <c r="C113" s="4"/>
      <c r="D113" s="136"/>
      <c r="E113" s="3"/>
    </row>
    <row r="114" spans="1:5" x14ac:dyDescent="0.25">
      <c r="A114" s="177"/>
      <c r="B114" s="155"/>
      <c r="C114" s="4"/>
      <c r="D114" s="136"/>
      <c r="E114" s="3"/>
    </row>
    <row r="115" spans="1:5" x14ac:dyDescent="0.25">
      <c r="A115" s="177"/>
      <c r="B115" s="155"/>
      <c r="C115" s="4"/>
      <c r="D115" s="136"/>
      <c r="E115" s="3"/>
    </row>
    <row r="116" spans="1:5" x14ac:dyDescent="0.25">
      <c r="A116" s="177"/>
      <c r="B116" s="155"/>
      <c r="C116" s="4"/>
      <c r="D116" s="136"/>
      <c r="E116" s="3"/>
    </row>
    <row r="117" spans="1:5" x14ac:dyDescent="0.25">
      <c r="A117" s="177"/>
      <c r="B117" s="155"/>
      <c r="C117" s="4"/>
      <c r="D117" s="136"/>
      <c r="E117" s="3"/>
    </row>
    <row r="118" spans="1:5" x14ac:dyDescent="0.25">
      <c r="A118" s="177"/>
      <c r="B118" s="155"/>
      <c r="C118" s="4"/>
      <c r="D118" s="136"/>
      <c r="E118" s="3"/>
    </row>
    <row r="119" spans="1:5" x14ac:dyDescent="0.25">
      <c r="A119" s="177"/>
      <c r="B119" s="155"/>
      <c r="C119" s="4"/>
      <c r="D119" s="136"/>
      <c r="E119" s="3"/>
    </row>
    <row r="120" spans="1:5" x14ac:dyDescent="0.25">
      <c r="A120" s="177"/>
      <c r="B120" s="155"/>
      <c r="C120" s="4"/>
      <c r="D120" s="136"/>
      <c r="E120" s="3"/>
    </row>
    <row r="121" spans="1:5" x14ac:dyDescent="0.25">
      <c r="A121" s="177"/>
      <c r="B121" s="155"/>
      <c r="C121" s="4"/>
      <c r="D121" s="136"/>
      <c r="E121" s="3"/>
    </row>
    <row r="122" spans="1:5" x14ac:dyDescent="0.25">
      <c r="A122" s="177"/>
      <c r="B122" s="155"/>
      <c r="C122" s="4"/>
      <c r="D122" s="136"/>
      <c r="E122" s="3"/>
    </row>
    <row r="123" spans="1:5" x14ac:dyDescent="0.25">
      <c r="A123" s="177"/>
      <c r="B123" s="155"/>
      <c r="C123" s="4"/>
      <c r="D123" s="136"/>
      <c r="E123" s="3"/>
    </row>
    <row r="124" spans="1:5" x14ac:dyDescent="0.25">
      <c r="A124" s="177"/>
      <c r="B124" s="155"/>
      <c r="C124" s="4"/>
      <c r="D124" s="136"/>
      <c r="E124" s="3"/>
    </row>
    <row r="125" spans="1:5" x14ac:dyDescent="0.25">
      <c r="A125" s="177"/>
      <c r="B125" s="155"/>
      <c r="C125" s="4"/>
      <c r="D125" s="136"/>
      <c r="E125" s="3"/>
    </row>
    <row r="126" spans="1:5" x14ac:dyDescent="0.25">
      <c r="A126" s="177"/>
      <c r="B126" s="155"/>
      <c r="C126" s="4"/>
      <c r="D126" s="136"/>
      <c r="E126" s="3"/>
    </row>
    <row r="127" spans="1:5" x14ac:dyDescent="0.25">
      <c r="A127" s="177"/>
      <c r="B127" s="155"/>
      <c r="C127" s="4"/>
      <c r="D127" s="136"/>
      <c r="E127" s="3"/>
    </row>
    <row r="128" spans="1:5" x14ac:dyDescent="0.25">
      <c r="A128" s="177"/>
      <c r="B128" s="155"/>
      <c r="C128" s="4"/>
      <c r="D128" s="136"/>
      <c r="E128" s="3"/>
    </row>
    <row r="129" spans="1:5" x14ac:dyDescent="0.25">
      <c r="A129" s="177"/>
      <c r="B129" s="155"/>
      <c r="C129" s="4"/>
      <c r="D129" s="136"/>
      <c r="E129" s="3"/>
    </row>
    <row r="130" spans="1:5" x14ac:dyDescent="0.25">
      <c r="A130" s="177"/>
      <c r="B130" s="155"/>
      <c r="C130" s="4"/>
      <c r="D130" s="136"/>
      <c r="E130" s="3"/>
    </row>
    <row r="131" spans="1:5" x14ac:dyDescent="0.25">
      <c r="A131" s="177"/>
      <c r="B131" s="155"/>
      <c r="C131" s="4"/>
      <c r="D131" s="136"/>
      <c r="E131" s="3"/>
    </row>
    <row r="132" spans="1:5" x14ac:dyDescent="0.25">
      <c r="A132" s="177"/>
      <c r="B132" s="155"/>
      <c r="C132" s="4"/>
      <c r="D132" s="136"/>
      <c r="E132" s="3"/>
    </row>
    <row r="133" spans="1:5" x14ac:dyDescent="0.25">
      <c r="A133" s="177"/>
      <c r="B133" s="155"/>
      <c r="C133" s="4"/>
      <c r="D133" s="136"/>
      <c r="E133" s="3"/>
    </row>
    <row r="134" spans="1:5" x14ac:dyDescent="0.25">
      <c r="A134" s="177"/>
      <c r="B134" s="155"/>
      <c r="C134" s="4"/>
      <c r="D134" s="136"/>
      <c r="E134" s="3"/>
    </row>
    <row r="135" spans="1:5" x14ac:dyDescent="0.25">
      <c r="A135" s="177"/>
      <c r="B135" s="155"/>
      <c r="C135" s="4"/>
      <c r="D135" s="136"/>
      <c r="E135" s="3"/>
    </row>
    <row r="136" spans="1:5" x14ac:dyDescent="0.25">
      <c r="A136" s="177"/>
      <c r="B136" s="155"/>
      <c r="C136" s="4"/>
      <c r="D136" s="136"/>
      <c r="E136" s="3"/>
    </row>
    <row r="137" spans="1:5" x14ac:dyDescent="0.25">
      <c r="A137" s="177"/>
      <c r="B137" s="155"/>
      <c r="C137" s="4"/>
      <c r="D137" s="136"/>
      <c r="E137" s="3"/>
    </row>
    <row r="138" spans="1:5" x14ac:dyDescent="0.25">
      <c r="A138" s="177"/>
      <c r="B138" s="155"/>
      <c r="C138" s="4"/>
      <c r="D138" s="136"/>
      <c r="E138" s="3"/>
    </row>
    <row r="139" spans="1:5" x14ac:dyDescent="0.25">
      <c r="A139" s="177"/>
      <c r="B139" s="155"/>
      <c r="C139" s="4"/>
      <c r="D139" s="136"/>
      <c r="E139" s="3"/>
    </row>
    <row r="140" spans="1:5" x14ac:dyDescent="0.25">
      <c r="A140" s="177"/>
      <c r="B140" s="155"/>
      <c r="C140" s="4"/>
      <c r="D140" s="136"/>
      <c r="E140" s="3"/>
    </row>
    <row r="141" spans="1:5" x14ac:dyDescent="0.25">
      <c r="A141" s="177"/>
      <c r="B141" s="155"/>
      <c r="C141" s="4"/>
      <c r="D141" s="136"/>
      <c r="E141" s="3"/>
    </row>
    <row r="142" spans="1:5" x14ac:dyDescent="0.25">
      <c r="A142" s="177"/>
      <c r="B142" s="155"/>
      <c r="C142" s="4"/>
      <c r="D142" s="136"/>
      <c r="E142" s="3"/>
    </row>
    <row r="143" spans="1:5" x14ac:dyDescent="0.25">
      <c r="A143" s="177"/>
      <c r="B143" s="155"/>
      <c r="C143" s="4"/>
      <c r="D143" s="136"/>
      <c r="E143" s="3"/>
    </row>
    <row r="144" spans="1:5" x14ac:dyDescent="0.25">
      <c r="A144" s="177"/>
      <c r="B144" s="155"/>
      <c r="C144" s="4"/>
      <c r="D144" s="136"/>
      <c r="E144" s="3"/>
    </row>
    <row r="145" spans="1:5" x14ac:dyDescent="0.25">
      <c r="A145" s="177"/>
      <c r="B145" s="155"/>
      <c r="C145" s="4"/>
      <c r="D145" s="136"/>
      <c r="E145" s="3"/>
    </row>
    <row r="146" spans="1:5" x14ac:dyDescent="0.25">
      <c r="A146" s="177"/>
      <c r="B146" s="155"/>
      <c r="C146" s="4"/>
      <c r="D146" s="136"/>
      <c r="E146" s="3"/>
    </row>
    <row r="147" spans="1:5" x14ac:dyDescent="0.25">
      <c r="A147" s="177"/>
      <c r="B147" s="155"/>
      <c r="C147" s="4"/>
      <c r="D147" s="136"/>
      <c r="E147" s="3"/>
    </row>
    <row r="148" spans="1:5" x14ac:dyDescent="0.25">
      <c r="A148" s="177"/>
      <c r="B148" s="155"/>
      <c r="C148" s="4"/>
      <c r="D148" s="136"/>
      <c r="E148" s="3"/>
    </row>
    <row r="149" spans="1:5" x14ac:dyDescent="0.25">
      <c r="A149" s="177"/>
      <c r="B149" s="155"/>
      <c r="C149" s="4"/>
      <c r="D149" s="136"/>
      <c r="E149" s="3"/>
    </row>
    <row r="150" spans="1:5" x14ac:dyDescent="0.25">
      <c r="A150" s="177"/>
      <c r="B150" s="155"/>
      <c r="C150" s="4"/>
      <c r="D150" s="136"/>
      <c r="E150" s="3"/>
    </row>
    <row r="151" spans="1:5" x14ac:dyDescent="0.25">
      <c r="A151" s="177"/>
      <c r="B151" s="155"/>
      <c r="C151" s="4"/>
      <c r="D151" s="136"/>
      <c r="E151" s="3"/>
    </row>
    <row r="152" spans="1:5" x14ac:dyDescent="0.25">
      <c r="A152" s="177"/>
      <c r="B152" s="155"/>
      <c r="C152" s="4"/>
      <c r="D152" s="136"/>
      <c r="E152" s="3"/>
    </row>
    <row r="153" spans="1:5" x14ac:dyDescent="0.25">
      <c r="A153" s="177"/>
      <c r="B153" s="155"/>
      <c r="C153" s="4"/>
      <c r="D153" s="136"/>
      <c r="E153" s="3"/>
    </row>
    <row r="154" spans="1:5" x14ac:dyDescent="0.25">
      <c r="A154" s="177"/>
      <c r="B154" s="155"/>
      <c r="C154" s="4"/>
      <c r="D154" s="136"/>
      <c r="E154" s="3"/>
    </row>
    <row r="155" spans="1:5" x14ac:dyDescent="0.25">
      <c r="A155" s="177"/>
      <c r="B155" s="155"/>
      <c r="C155" s="4"/>
      <c r="D155" s="136"/>
      <c r="E155" s="3"/>
    </row>
    <row r="156" spans="1:5" x14ac:dyDescent="0.25">
      <c r="A156" s="177"/>
      <c r="B156" s="155"/>
      <c r="C156" s="4"/>
      <c r="D156" s="136"/>
      <c r="E156" s="3"/>
    </row>
    <row r="157" spans="1:5" x14ac:dyDescent="0.25">
      <c r="A157" s="177"/>
      <c r="B157" s="155"/>
      <c r="C157" s="4"/>
      <c r="D157" s="136"/>
      <c r="E157" s="3"/>
    </row>
    <row r="158" spans="1:5" x14ac:dyDescent="0.25">
      <c r="A158" s="177"/>
      <c r="B158" s="155"/>
      <c r="C158" s="4"/>
      <c r="D158" s="136"/>
      <c r="E158" s="3"/>
    </row>
    <row r="159" spans="1:5" x14ac:dyDescent="0.25">
      <c r="A159" s="177"/>
      <c r="B159" s="155"/>
      <c r="C159" s="4"/>
      <c r="D159" s="136"/>
      <c r="E159" s="3"/>
    </row>
    <row r="160" spans="1:5" x14ac:dyDescent="0.25">
      <c r="A160" s="177"/>
      <c r="B160" s="155"/>
      <c r="C160" s="4"/>
      <c r="D160" s="136"/>
      <c r="E160" s="3"/>
    </row>
    <row r="161" spans="1:5" x14ac:dyDescent="0.25">
      <c r="A161" s="177"/>
      <c r="B161" s="155"/>
      <c r="C161" s="4"/>
      <c r="D161" s="136"/>
      <c r="E161" s="3"/>
    </row>
    <row r="162" spans="1:5" x14ac:dyDescent="0.25">
      <c r="A162" s="177"/>
      <c r="B162" s="155"/>
      <c r="C162" s="4"/>
      <c r="D162" s="136"/>
      <c r="E162" s="3"/>
    </row>
    <row r="163" spans="1:5" x14ac:dyDescent="0.25">
      <c r="A163" s="177"/>
      <c r="B163" s="155"/>
      <c r="C163" s="4"/>
      <c r="D163" s="136"/>
      <c r="E163" s="3"/>
    </row>
    <row r="164" spans="1:5" x14ac:dyDescent="0.25">
      <c r="A164" s="177"/>
      <c r="B164" s="155"/>
      <c r="C164" s="4"/>
      <c r="D164" s="136"/>
      <c r="E164" s="3"/>
    </row>
    <row r="165" spans="1:5" x14ac:dyDescent="0.25">
      <c r="A165" s="177"/>
      <c r="B165" s="155"/>
      <c r="C165" s="4"/>
      <c r="D165" s="136"/>
      <c r="E165" s="3"/>
    </row>
    <row r="166" spans="1:5" x14ac:dyDescent="0.25">
      <c r="A166" s="177"/>
      <c r="B166" s="155"/>
      <c r="C166" s="4"/>
      <c r="D166" s="136"/>
      <c r="E166" s="3"/>
    </row>
    <row r="167" spans="1:5" x14ac:dyDescent="0.25">
      <c r="A167" s="177"/>
      <c r="B167" s="155"/>
      <c r="C167" s="4"/>
      <c r="D167" s="136"/>
      <c r="E167" s="3"/>
    </row>
    <row r="168" spans="1:5" x14ac:dyDescent="0.25">
      <c r="A168" s="177"/>
      <c r="B168" s="155"/>
      <c r="C168" s="4"/>
      <c r="D168" s="136"/>
      <c r="E168" s="3"/>
    </row>
    <row r="169" spans="1:5" x14ac:dyDescent="0.25">
      <c r="A169" s="177"/>
      <c r="B169" s="155"/>
      <c r="C169" s="4"/>
      <c r="D169" s="136"/>
      <c r="E169" s="3"/>
    </row>
    <row r="170" spans="1:5" x14ac:dyDescent="0.25">
      <c r="A170" s="177"/>
      <c r="B170" s="155"/>
      <c r="C170" s="4"/>
      <c r="D170" s="136"/>
      <c r="E170" s="3"/>
    </row>
    <row r="171" spans="1:5" x14ac:dyDescent="0.25">
      <c r="A171" s="177"/>
      <c r="B171" s="155"/>
      <c r="C171" s="4"/>
      <c r="D171" s="136"/>
      <c r="E171" s="3"/>
    </row>
    <row r="172" spans="1:5" x14ac:dyDescent="0.25">
      <c r="A172" s="177"/>
      <c r="B172" s="155"/>
      <c r="C172" s="4"/>
      <c r="D172" s="136"/>
      <c r="E172" s="3"/>
    </row>
    <row r="173" spans="1:5" x14ac:dyDescent="0.25">
      <c r="A173" s="177"/>
      <c r="B173" s="155"/>
      <c r="C173" s="4"/>
      <c r="D173" s="136"/>
      <c r="E173" s="3"/>
    </row>
    <row r="174" spans="1:5" x14ac:dyDescent="0.25">
      <c r="A174" s="177"/>
      <c r="B174" s="155"/>
      <c r="C174" s="4"/>
      <c r="D174" s="136"/>
      <c r="E174" s="3"/>
    </row>
    <row r="175" spans="1:5" x14ac:dyDescent="0.25">
      <c r="A175" s="177"/>
      <c r="B175" s="155"/>
      <c r="C175" s="4"/>
      <c r="D175" s="136"/>
      <c r="E175" s="3"/>
    </row>
    <row r="176" spans="1:5" x14ac:dyDescent="0.25">
      <c r="A176" s="177"/>
      <c r="B176" s="155"/>
      <c r="C176" s="4"/>
      <c r="D176" s="136"/>
      <c r="E176" s="3"/>
    </row>
    <row r="177" spans="1:5" x14ac:dyDescent="0.25">
      <c r="A177" s="177"/>
      <c r="B177" s="155"/>
      <c r="C177" s="4"/>
      <c r="D177" s="136"/>
      <c r="E177" s="3"/>
    </row>
    <row r="178" spans="1:5" x14ac:dyDescent="0.25">
      <c r="A178" s="177"/>
      <c r="B178" s="155"/>
      <c r="C178" s="4"/>
      <c r="D178" s="136"/>
      <c r="E178" s="3"/>
    </row>
    <row r="179" spans="1:5" x14ac:dyDescent="0.25">
      <c r="A179" s="177"/>
      <c r="B179" s="155"/>
      <c r="C179" s="4"/>
      <c r="D179" s="136"/>
      <c r="E179" s="3"/>
    </row>
    <row r="180" spans="1:5" x14ac:dyDescent="0.25">
      <c r="A180" s="177"/>
      <c r="B180" s="155"/>
      <c r="C180" s="4"/>
      <c r="D180" s="136"/>
      <c r="E180" s="3"/>
    </row>
    <row r="181" spans="1:5" x14ac:dyDescent="0.25">
      <c r="A181" s="177"/>
      <c r="B181" s="155"/>
      <c r="C181" s="4"/>
      <c r="D181" s="136"/>
      <c r="E181" s="3"/>
    </row>
    <row r="182" spans="1:5" x14ac:dyDescent="0.25">
      <c r="A182" s="177"/>
      <c r="B182" s="155"/>
      <c r="C182" s="4"/>
      <c r="D182" s="136"/>
      <c r="E182" s="3"/>
    </row>
    <row r="183" spans="1:5" x14ac:dyDescent="0.25">
      <c r="A183" s="177"/>
      <c r="B183" s="155"/>
      <c r="C183" s="4"/>
      <c r="D183" s="136"/>
      <c r="E183" s="3"/>
    </row>
    <row r="184" spans="1:5" x14ac:dyDescent="0.25">
      <c r="A184" s="177"/>
      <c r="B184" s="155"/>
      <c r="C184" s="4"/>
      <c r="D184" s="136"/>
      <c r="E184" s="3"/>
    </row>
    <row r="185" spans="1:5" x14ac:dyDescent="0.25">
      <c r="A185" s="177"/>
      <c r="B185" s="155"/>
      <c r="C185" s="4"/>
      <c r="D185" s="136"/>
      <c r="E185" s="3"/>
    </row>
    <row r="186" spans="1:5" x14ac:dyDescent="0.25">
      <c r="A186" s="177"/>
      <c r="B186" s="155"/>
      <c r="C186" s="4"/>
      <c r="D186" s="136"/>
      <c r="E186" s="3"/>
    </row>
    <row r="187" spans="1:5" x14ac:dyDescent="0.25">
      <c r="A187" s="177"/>
      <c r="B187" s="155"/>
      <c r="C187" s="4"/>
      <c r="D187" s="136"/>
      <c r="E187" s="3"/>
    </row>
    <row r="188" spans="1:5" x14ac:dyDescent="0.25">
      <c r="A188" s="177"/>
      <c r="B188" s="155"/>
      <c r="C188" s="4"/>
      <c r="D188" s="136"/>
      <c r="E188" s="3"/>
    </row>
    <row r="189" spans="1:5" x14ac:dyDescent="0.25">
      <c r="A189" s="177"/>
      <c r="B189" s="155"/>
      <c r="C189" s="4"/>
      <c r="D189" s="136"/>
      <c r="E189" s="3"/>
    </row>
    <row r="190" spans="1:5" x14ac:dyDescent="0.25">
      <c r="A190" s="177"/>
      <c r="B190" s="155"/>
      <c r="C190" s="4"/>
      <c r="D190" s="136"/>
      <c r="E190" s="3"/>
    </row>
    <row r="191" spans="1:5" x14ac:dyDescent="0.25">
      <c r="A191" s="177"/>
      <c r="B191" s="155"/>
      <c r="C191" s="4"/>
      <c r="D191" s="136"/>
      <c r="E191" s="3"/>
    </row>
    <row r="192" spans="1:5" x14ac:dyDescent="0.25">
      <c r="A192" s="177"/>
      <c r="B192" s="155"/>
      <c r="C192" s="4"/>
      <c r="D192" s="136"/>
      <c r="E192" s="3"/>
    </row>
    <row r="193" spans="1:5" x14ac:dyDescent="0.25">
      <c r="A193" s="177"/>
      <c r="B193" s="155"/>
      <c r="C193" s="4"/>
      <c r="D193" s="136"/>
      <c r="E193" s="3"/>
    </row>
    <row r="194" spans="1:5" x14ac:dyDescent="0.25">
      <c r="A194" s="177"/>
      <c r="B194" s="155"/>
      <c r="C194" s="4"/>
      <c r="D194" s="136"/>
      <c r="E194" s="3"/>
    </row>
    <row r="195" spans="1:5" x14ac:dyDescent="0.25">
      <c r="A195" s="177"/>
      <c r="B195" s="155"/>
      <c r="C195" s="4"/>
      <c r="D195" s="136"/>
      <c r="E195" s="3"/>
    </row>
    <row r="196" spans="1:5" x14ac:dyDescent="0.25">
      <c r="A196" s="177"/>
      <c r="B196" s="155"/>
      <c r="C196" s="4"/>
      <c r="D196" s="136"/>
      <c r="E196" s="3"/>
    </row>
    <row r="197" spans="1:5" x14ac:dyDescent="0.25">
      <c r="A197" s="177"/>
      <c r="B197" s="155"/>
      <c r="C197" s="4"/>
      <c r="D197" s="136"/>
      <c r="E197" s="3"/>
    </row>
    <row r="198" spans="1:5" x14ac:dyDescent="0.25">
      <c r="A198" s="177"/>
      <c r="B198" s="155"/>
      <c r="C198" s="4"/>
      <c r="D198" s="136"/>
      <c r="E198" s="3"/>
    </row>
    <row r="199" spans="1:5" x14ac:dyDescent="0.25">
      <c r="A199" s="177"/>
      <c r="B199" s="155"/>
      <c r="C199" s="4"/>
      <c r="D199" s="136"/>
      <c r="E199" s="3"/>
    </row>
    <row r="200" spans="1:5" x14ac:dyDescent="0.25">
      <c r="A200" s="177"/>
      <c r="B200" s="155"/>
      <c r="C200" s="4"/>
      <c r="D200" s="136"/>
      <c r="E200" s="3"/>
    </row>
    <row r="201" spans="1:5" x14ac:dyDescent="0.25">
      <c r="A201" s="177"/>
      <c r="B201" s="155"/>
      <c r="C201" s="4"/>
      <c r="D201" s="136"/>
      <c r="E201" s="3"/>
    </row>
    <row r="202" spans="1:5" x14ac:dyDescent="0.25">
      <c r="A202" s="177"/>
      <c r="B202" s="155"/>
      <c r="C202" s="4"/>
      <c r="D202" s="136"/>
      <c r="E202" s="3"/>
    </row>
    <row r="203" spans="1:5" x14ac:dyDescent="0.25">
      <c r="A203" s="177"/>
      <c r="B203" s="155"/>
      <c r="C203" s="4"/>
      <c r="D203" s="136"/>
      <c r="E203" s="3"/>
    </row>
    <row r="204" spans="1:5" x14ac:dyDescent="0.25">
      <c r="A204" s="177"/>
      <c r="B204" s="155"/>
      <c r="C204" s="4"/>
      <c r="D204" s="136"/>
      <c r="E204" s="3"/>
    </row>
    <row r="205" spans="1:5" x14ac:dyDescent="0.25">
      <c r="A205" s="177"/>
      <c r="B205" s="155"/>
      <c r="C205" s="4"/>
      <c r="D205" s="136"/>
      <c r="E205" s="3"/>
    </row>
    <row r="206" spans="1:5" x14ac:dyDescent="0.25">
      <c r="A206" s="177"/>
      <c r="B206" s="155"/>
      <c r="C206" s="4"/>
      <c r="D206" s="136"/>
      <c r="E206" s="3"/>
    </row>
    <row r="207" spans="1:5" x14ac:dyDescent="0.25">
      <c r="A207" s="177"/>
      <c r="B207" s="155"/>
      <c r="C207" s="4"/>
      <c r="D207" s="136"/>
      <c r="E207" s="3"/>
    </row>
    <row r="208" spans="1:5" x14ac:dyDescent="0.25">
      <c r="A208" s="177"/>
      <c r="B208" s="155"/>
      <c r="C208" s="4"/>
      <c r="D208" s="136"/>
      <c r="E208" s="3"/>
    </row>
    <row r="209" spans="1:5" x14ac:dyDescent="0.25">
      <c r="A209" s="177"/>
      <c r="B209" s="155"/>
      <c r="C209" s="4"/>
      <c r="D209" s="136"/>
      <c r="E209" s="3"/>
    </row>
    <row r="210" spans="1:5" x14ac:dyDescent="0.25">
      <c r="A210" s="177"/>
      <c r="B210" s="155"/>
      <c r="C210" s="4"/>
      <c r="D210" s="136"/>
      <c r="E210" s="3"/>
    </row>
    <row r="211" spans="1:5" x14ac:dyDescent="0.25">
      <c r="A211" s="177"/>
      <c r="B211" s="155"/>
      <c r="C211" s="4"/>
      <c r="D211" s="136"/>
      <c r="E211" s="3"/>
    </row>
    <row r="212" spans="1:5" x14ac:dyDescent="0.25">
      <c r="A212" s="177"/>
      <c r="B212" s="155"/>
      <c r="C212" s="4"/>
      <c r="D212" s="136"/>
      <c r="E212" s="3"/>
    </row>
    <row r="213" spans="1:5" x14ac:dyDescent="0.25">
      <c r="A213" s="177"/>
      <c r="B213" s="155"/>
      <c r="C213" s="4"/>
      <c r="D213" s="136"/>
      <c r="E213" s="3"/>
    </row>
    <row r="214" spans="1:5" x14ac:dyDescent="0.25">
      <c r="A214" s="177"/>
      <c r="B214" s="155"/>
      <c r="C214" s="4"/>
      <c r="D214" s="136"/>
      <c r="E214" s="3"/>
    </row>
    <row r="215" spans="1:5" x14ac:dyDescent="0.25">
      <c r="A215" s="177"/>
      <c r="B215" s="155"/>
      <c r="C215" s="4"/>
      <c r="D215" s="136"/>
      <c r="E215" s="3"/>
    </row>
    <row r="216" spans="1:5" x14ac:dyDescent="0.25">
      <c r="A216" s="177"/>
      <c r="B216" s="155"/>
      <c r="C216" s="4"/>
      <c r="D216" s="136"/>
      <c r="E216" s="3"/>
    </row>
    <row r="217" spans="1:5" x14ac:dyDescent="0.25">
      <c r="A217" s="177"/>
      <c r="B217" s="155"/>
      <c r="C217" s="4"/>
      <c r="D217" s="136"/>
      <c r="E217" s="3"/>
    </row>
    <row r="218" spans="1:5" x14ac:dyDescent="0.25">
      <c r="A218" s="177"/>
      <c r="B218" s="155"/>
      <c r="C218" s="4"/>
      <c r="D218" s="136"/>
      <c r="E218" s="3"/>
    </row>
    <row r="219" spans="1:5" x14ac:dyDescent="0.25">
      <c r="A219" s="177"/>
      <c r="B219" s="155"/>
      <c r="C219" s="4"/>
      <c r="D219" s="136"/>
      <c r="E219" s="3"/>
    </row>
    <row r="220" spans="1:5" x14ac:dyDescent="0.25">
      <c r="A220" s="177"/>
      <c r="B220" s="155"/>
      <c r="C220" s="4"/>
      <c r="D220" s="136"/>
      <c r="E220" s="3"/>
    </row>
    <row r="221" spans="1:5" x14ac:dyDescent="0.25">
      <c r="A221" s="177"/>
      <c r="B221" s="155"/>
      <c r="C221" s="4"/>
      <c r="D221" s="136"/>
      <c r="E221" s="3"/>
    </row>
    <row r="222" spans="1:5" x14ac:dyDescent="0.25">
      <c r="A222" s="177"/>
      <c r="B222" s="155"/>
      <c r="C222" s="4"/>
      <c r="D222" s="136"/>
      <c r="E222" s="3"/>
    </row>
    <row r="223" spans="1:5" x14ac:dyDescent="0.25">
      <c r="A223" s="177"/>
      <c r="B223" s="155"/>
      <c r="C223" s="4"/>
      <c r="D223" s="136"/>
      <c r="E223" s="3"/>
    </row>
    <row r="224" spans="1:5" x14ac:dyDescent="0.25">
      <c r="A224" s="177"/>
      <c r="B224" s="155"/>
      <c r="C224" s="4"/>
      <c r="D224" s="136"/>
      <c r="E224" s="3"/>
    </row>
    <row r="225" spans="1:5" x14ac:dyDescent="0.25">
      <c r="A225" s="177"/>
      <c r="B225" s="155"/>
      <c r="C225" s="4"/>
      <c r="D225" s="136"/>
      <c r="E225" s="3"/>
    </row>
    <row r="226" spans="1:5" x14ac:dyDescent="0.25">
      <c r="A226" s="177"/>
      <c r="B226" s="155"/>
      <c r="C226" s="4"/>
      <c r="D226" s="136"/>
      <c r="E226" s="3"/>
    </row>
    <row r="227" spans="1:5" x14ac:dyDescent="0.25">
      <c r="A227" s="177"/>
      <c r="B227" s="155"/>
      <c r="C227" s="4"/>
      <c r="D227" s="136"/>
      <c r="E227" s="3"/>
    </row>
    <row r="228" spans="1:5" x14ac:dyDescent="0.25">
      <c r="A228" s="177"/>
      <c r="B228" s="155"/>
      <c r="C228" s="4"/>
      <c r="D228" s="136"/>
      <c r="E228" s="3"/>
    </row>
    <row r="229" spans="1:5" x14ac:dyDescent="0.25">
      <c r="A229" s="177"/>
      <c r="B229" s="155"/>
      <c r="C229" s="4"/>
      <c r="D229" s="136"/>
      <c r="E229" s="3"/>
    </row>
    <row r="230" spans="1:5" x14ac:dyDescent="0.25">
      <c r="A230" s="177"/>
      <c r="B230" s="155"/>
      <c r="C230" s="4"/>
      <c r="D230" s="136"/>
      <c r="E230" s="3"/>
    </row>
    <row r="231" spans="1:5" x14ac:dyDescent="0.25">
      <c r="A231" s="177"/>
      <c r="B231" s="155"/>
      <c r="C231" s="4"/>
      <c r="D231" s="136"/>
      <c r="E231" s="3"/>
    </row>
    <row r="232" spans="1:5" x14ac:dyDescent="0.25">
      <c r="A232" s="177"/>
      <c r="B232" s="155"/>
      <c r="C232" s="4"/>
      <c r="D232" s="136"/>
      <c r="E232" s="3"/>
    </row>
    <row r="233" spans="1:5" x14ac:dyDescent="0.25">
      <c r="A233" s="177"/>
      <c r="B233" s="155"/>
      <c r="C233" s="4"/>
      <c r="D233" s="136"/>
      <c r="E233" s="3"/>
    </row>
    <row r="234" spans="1:5" x14ac:dyDescent="0.25">
      <c r="A234" s="177"/>
      <c r="B234" s="155"/>
      <c r="C234" s="4"/>
      <c r="D234" s="136"/>
      <c r="E234" s="3"/>
    </row>
    <row r="235" spans="1:5" x14ac:dyDescent="0.25">
      <c r="A235" s="177"/>
      <c r="B235" s="155"/>
      <c r="C235" s="4"/>
      <c r="D235" s="136"/>
      <c r="E235" s="3"/>
    </row>
    <row r="236" spans="1:5" x14ac:dyDescent="0.25">
      <c r="A236" s="177"/>
      <c r="B236" s="155"/>
      <c r="C236" s="4"/>
      <c r="D236" s="136"/>
      <c r="E236" s="3"/>
    </row>
    <row r="237" spans="1:5" x14ac:dyDescent="0.25">
      <c r="A237" s="177"/>
      <c r="B237" s="155"/>
      <c r="C237" s="4"/>
      <c r="D237" s="136"/>
      <c r="E237" s="3"/>
    </row>
    <row r="238" spans="1:5" x14ac:dyDescent="0.25">
      <c r="A238" s="177"/>
      <c r="B238" s="155"/>
      <c r="C238" s="4"/>
      <c r="D238" s="136"/>
      <c r="E238" s="3"/>
    </row>
    <row r="239" spans="1:5" x14ac:dyDescent="0.25">
      <c r="A239" s="177"/>
      <c r="B239" s="155"/>
      <c r="C239" s="4"/>
      <c r="D239" s="136"/>
      <c r="E239" s="3"/>
    </row>
    <row r="240" spans="1:5" x14ac:dyDescent="0.25">
      <c r="A240" s="177"/>
      <c r="B240" s="155"/>
      <c r="C240" s="4"/>
      <c r="D240" s="136"/>
      <c r="E240" s="3"/>
    </row>
    <row r="241" spans="1:5" x14ac:dyDescent="0.25">
      <c r="A241" s="177"/>
      <c r="B241" s="155"/>
      <c r="C241" s="4"/>
      <c r="D241" s="136"/>
      <c r="E241" s="3"/>
    </row>
    <row r="242" spans="1:5" x14ac:dyDescent="0.25">
      <c r="A242" s="177"/>
      <c r="B242" s="155"/>
      <c r="C242" s="4"/>
      <c r="D242" s="136"/>
      <c r="E242" s="3"/>
    </row>
    <row r="243" spans="1:5" x14ac:dyDescent="0.25">
      <c r="A243" s="177"/>
      <c r="B243" s="155"/>
      <c r="C243" s="4"/>
      <c r="D243" s="136"/>
      <c r="E243" s="3"/>
    </row>
    <row r="244" spans="1:5" x14ac:dyDescent="0.25">
      <c r="A244" s="177"/>
      <c r="B244" s="155"/>
      <c r="C244" s="4"/>
      <c r="D244" s="136"/>
      <c r="E244" s="3"/>
    </row>
    <row r="245" spans="1:5" x14ac:dyDescent="0.25">
      <c r="A245" s="177"/>
      <c r="B245" s="155"/>
      <c r="C245" s="4"/>
      <c r="D245" s="136"/>
      <c r="E245" s="3"/>
    </row>
    <row r="246" spans="1:5" x14ac:dyDescent="0.25">
      <c r="A246" s="177"/>
      <c r="B246" s="155"/>
      <c r="C246" s="4"/>
      <c r="D246" s="136"/>
      <c r="E246" s="3"/>
    </row>
    <row r="247" spans="1:5" x14ac:dyDescent="0.25">
      <c r="A247" s="177"/>
      <c r="B247" s="155"/>
      <c r="C247" s="4"/>
      <c r="D247" s="136"/>
      <c r="E247" s="3"/>
    </row>
    <row r="248" spans="1:5" x14ac:dyDescent="0.25">
      <c r="A248" s="177"/>
      <c r="B248" s="155"/>
      <c r="C248" s="4"/>
      <c r="D248" s="136"/>
      <c r="E248" s="3"/>
    </row>
    <row r="249" spans="1:5" x14ac:dyDescent="0.25">
      <c r="A249" s="177"/>
      <c r="B249" s="155"/>
      <c r="C249" s="4"/>
      <c r="D249" s="136"/>
      <c r="E249" s="3"/>
    </row>
    <row r="250" spans="1:5" x14ac:dyDescent="0.25">
      <c r="A250" s="177"/>
      <c r="B250" s="155"/>
      <c r="C250" s="4"/>
      <c r="D250" s="136"/>
      <c r="E250" s="3"/>
    </row>
    <row r="251" spans="1:5" x14ac:dyDescent="0.25">
      <c r="A251" s="177"/>
      <c r="B251" s="155"/>
      <c r="C251" s="4"/>
      <c r="D251" s="136"/>
      <c r="E251" s="3"/>
    </row>
    <row r="252" spans="1:5" x14ac:dyDescent="0.25">
      <c r="A252" s="177"/>
      <c r="B252" s="155"/>
      <c r="C252" s="4"/>
      <c r="D252" s="136"/>
      <c r="E252" s="3"/>
    </row>
    <row r="253" spans="1:5" x14ac:dyDescent="0.25">
      <c r="A253" s="177"/>
      <c r="B253" s="155"/>
      <c r="C253" s="4"/>
      <c r="D253" s="136"/>
      <c r="E253" s="3"/>
    </row>
    <row r="254" spans="1:5" x14ac:dyDescent="0.25">
      <c r="A254" s="177"/>
      <c r="B254" s="155"/>
      <c r="C254" s="4"/>
      <c r="D254" s="136"/>
      <c r="E254" s="3"/>
    </row>
    <row r="255" spans="1:5" x14ac:dyDescent="0.25">
      <c r="A255" s="177"/>
      <c r="B255" s="155"/>
      <c r="C255" s="4"/>
      <c r="D255" s="136"/>
      <c r="E255" s="3"/>
    </row>
    <row r="256" spans="1:5" x14ac:dyDescent="0.25">
      <c r="A256" s="177"/>
      <c r="B256" s="155"/>
      <c r="C256" s="4"/>
      <c r="D256" s="136"/>
      <c r="E256" s="3"/>
    </row>
    <row r="257" spans="1:5" x14ac:dyDescent="0.25">
      <c r="A257" s="177"/>
      <c r="B257" s="155"/>
      <c r="C257" s="4"/>
      <c r="D257" s="136"/>
      <c r="E257" s="3"/>
    </row>
    <row r="258" spans="1:5" x14ac:dyDescent="0.25">
      <c r="A258" s="177"/>
      <c r="B258" s="155"/>
      <c r="C258" s="4"/>
      <c r="D258" s="136"/>
      <c r="E258" s="3"/>
    </row>
    <row r="259" spans="1:5" x14ac:dyDescent="0.25">
      <c r="A259" s="177"/>
      <c r="B259" s="155"/>
      <c r="C259" s="4"/>
      <c r="D259" s="136"/>
      <c r="E259" s="3"/>
    </row>
    <row r="260" spans="1:5" x14ac:dyDescent="0.25">
      <c r="A260" s="177"/>
      <c r="B260" s="155"/>
      <c r="C260" s="4"/>
      <c r="D260" s="136"/>
      <c r="E260" s="3"/>
    </row>
    <row r="261" spans="1:5" x14ac:dyDescent="0.25">
      <c r="A261" s="177"/>
      <c r="B261" s="155"/>
      <c r="C261" s="4"/>
      <c r="D261" s="136"/>
      <c r="E261" s="3"/>
    </row>
    <row r="262" spans="1:5" x14ac:dyDescent="0.25">
      <c r="A262" s="177"/>
      <c r="B262" s="155"/>
      <c r="C262" s="4"/>
      <c r="D262" s="136"/>
      <c r="E262" s="3"/>
    </row>
    <row r="263" spans="1:5" x14ac:dyDescent="0.25">
      <c r="A263" s="177"/>
      <c r="B263" s="155"/>
      <c r="C263" s="4"/>
      <c r="D263" s="136"/>
      <c r="E263" s="3"/>
    </row>
    <row r="264" spans="1:5" x14ac:dyDescent="0.25">
      <c r="A264" s="177"/>
      <c r="B264" s="155"/>
      <c r="C264" s="4"/>
      <c r="D264" s="136"/>
      <c r="E264" s="3"/>
    </row>
    <row r="265" spans="1:5" x14ac:dyDescent="0.25">
      <c r="A265" s="177"/>
      <c r="B265" s="155"/>
      <c r="C265" s="4"/>
      <c r="D265" s="136"/>
      <c r="E265" s="3"/>
    </row>
    <row r="266" spans="1:5" x14ac:dyDescent="0.25">
      <c r="A266" s="177"/>
      <c r="B266" s="155"/>
      <c r="C266" s="4"/>
      <c r="D266" s="136"/>
      <c r="E266" s="3"/>
    </row>
    <row r="267" spans="1:5" x14ac:dyDescent="0.25">
      <c r="A267" s="177"/>
      <c r="B267" s="155"/>
      <c r="C267" s="4"/>
      <c r="D267" s="136"/>
      <c r="E267" s="3"/>
    </row>
    <row r="268" spans="1:5" x14ac:dyDescent="0.25">
      <c r="A268" s="177"/>
      <c r="B268" s="155"/>
      <c r="C268" s="4"/>
      <c r="D268" s="136"/>
      <c r="E268" s="3"/>
    </row>
    <row r="269" spans="1:5" x14ac:dyDescent="0.25">
      <c r="A269" s="177"/>
      <c r="B269" s="155"/>
      <c r="C269" s="4"/>
      <c r="D269" s="136"/>
      <c r="E269" s="3"/>
    </row>
    <row r="270" spans="1:5" x14ac:dyDescent="0.25">
      <c r="A270" s="177"/>
      <c r="B270" s="155"/>
      <c r="C270" s="4"/>
      <c r="D270" s="136"/>
      <c r="E270" s="3"/>
    </row>
    <row r="271" spans="1:5" x14ac:dyDescent="0.25">
      <c r="A271" s="177"/>
      <c r="B271" s="155"/>
      <c r="C271" s="4"/>
      <c r="D271" s="136"/>
      <c r="E271" s="3"/>
    </row>
    <row r="272" spans="1:5" x14ac:dyDescent="0.25">
      <c r="A272" s="177"/>
      <c r="B272" s="155"/>
      <c r="C272" s="4"/>
      <c r="D272" s="136"/>
      <c r="E272" s="3"/>
    </row>
    <row r="273" spans="1:5" x14ac:dyDescent="0.25">
      <c r="A273" s="177"/>
      <c r="B273" s="155"/>
      <c r="C273" s="4"/>
      <c r="D273" s="136"/>
      <c r="E273" s="3"/>
    </row>
    <row r="274" spans="1:5" x14ac:dyDescent="0.25">
      <c r="A274" s="177"/>
      <c r="B274" s="155"/>
      <c r="C274" s="4"/>
      <c r="D274" s="136"/>
      <c r="E274" s="3"/>
    </row>
    <row r="275" spans="1:5" x14ac:dyDescent="0.25">
      <c r="A275" s="177"/>
      <c r="B275" s="155"/>
      <c r="C275" s="4"/>
      <c r="D275" s="136"/>
      <c r="E275" s="3"/>
    </row>
    <row r="276" spans="1:5" x14ac:dyDescent="0.25">
      <c r="A276" s="177"/>
      <c r="B276" s="155"/>
      <c r="C276" s="4"/>
      <c r="D276" s="136"/>
      <c r="E276" s="3"/>
    </row>
    <row r="277" spans="1:5" x14ac:dyDescent="0.25">
      <c r="A277" s="177"/>
      <c r="B277" s="155"/>
      <c r="C277" s="4"/>
      <c r="D277" s="136"/>
      <c r="E277" s="3"/>
    </row>
    <row r="278" spans="1:5" x14ac:dyDescent="0.25">
      <c r="A278" s="177"/>
      <c r="B278" s="155"/>
      <c r="C278" s="4"/>
      <c r="D278" s="136"/>
      <c r="E278" s="3"/>
    </row>
    <row r="279" spans="1:5" x14ac:dyDescent="0.25">
      <c r="A279" s="177"/>
      <c r="B279" s="155"/>
      <c r="C279" s="4"/>
      <c r="D279" s="136"/>
      <c r="E279" s="3"/>
    </row>
    <row r="280" spans="1:5" x14ac:dyDescent="0.25">
      <c r="A280" s="177"/>
      <c r="B280" s="155"/>
      <c r="C280" s="4"/>
      <c r="D280" s="136"/>
      <c r="E280" s="3"/>
    </row>
    <row r="281" spans="1:5" x14ac:dyDescent="0.25">
      <c r="A281" s="177"/>
      <c r="B281" s="155"/>
      <c r="C281" s="4"/>
      <c r="D281" s="136"/>
      <c r="E281" s="3"/>
    </row>
    <row r="282" spans="1:5" x14ac:dyDescent="0.25">
      <c r="A282" s="177"/>
      <c r="B282" s="155"/>
      <c r="C282" s="4"/>
      <c r="D282" s="136"/>
      <c r="E282" s="3"/>
    </row>
    <row r="283" spans="1:5" x14ac:dyDescent="0.25">
      <c r="A283" s="177"/>
      <c r="B283" s="155"/>
      <c r="C283" s="4"/>
      <c r="D283" s="136"/>
      <c r="E283" s="3"/>
    </row>
    <row r="284" spans="1:5" x14ac:dyDescent="0.25">
      <c r="A284" s="177"/>
      <c r="B284" s="155"/>
      <c r="C284" s="4"/>
      <c r="D284" s="136"/>
      <c r="E284" s="3"/>
    </row>
    <row r="285" spans="1:5" x14ac:dyDescent="0.25">
      <c r="A285" s="177"/>
      <c r="B285" s="155"/>
      <c r="C285" s="4"/>
      <c r="D285" s="136"/>
      <c r="E285" s="3"/>
    </row>
    <row r="286" spans="1:5" x14ac:dyDescent="0.25">
      <c r="A286" s="177"/>
      <c r="B286" s="155"/>
      <c r="C286" s="4"/>
      <c r="D286" s="136"/>
      <c r="E286" s="3"/>
    </row>
    <row r="287" spans="1:5" x14ac:dyDescent="0.25">
      <c r="A287" s="177"/>
      <c r="B287" s="155"/>
      <c r="C287" s="4"/>
      <c r="D287" s="136"/>
      <c r="E287" s="3"/>
    </row>
    <row r="288" spans="1:5" x14ac:dyDescent="0.25">
      <c r="A288" s="177"/>
      <c r="B288" s="155"/>
      <c r="C288" s="4"/>
      <c r="D288" s="136"/>
      <c r="E288" s="3"/>
    </row>
    <row r="289" spans="1:5" x14ac:dyDescent="0.25">
      <c r="A289" s="177"/>
      <c r="B289" s="155"/>
      <c r="C289" s="4"/>
      <c r="D289" s="136"/>
      <c r="E289" s="3"/>
    </row>
    <row r="290" spans="1:5" x14ac:dyDescent="0.25">
      <c r="A290" s="177"/>
      <c r="B290" s="155"/>
      <c r="C290" s="4"/>
      <c r="D290" s="136"/>
      <c r="E290" s="3"/>
    </row>
    <row r="291" spans="1:5" x14ac:dyDescent="0.25">
      <c r="A291" s="177"/>
      <c r="B291" s="155"/>
      <c r="C291" s="4"/>
      <c r="D291" s="136"/>
      <c r="E291" s="3"/>
    </row>
    <row r="292" spans="1:5" x14ac:dyDescent="0.25">
      <c r="A292" s="177"/>
      <c r="B292" s="155"/>
      <c r="C292" s="4"/>
      <c r="D292" s="136"/>
      <c r="E292" s="3"/>
    </row>
    <row r="293" spans="1:5" x14ac:dyDescent="0.25">
      <c r="A293" s="177"/>
      <c r="B293" s="155"/>
      <c r="C293" s="4"/>
      <c r="D293" s="136"/>
      <c r="E293" s="3"/>
    </row>
    <row r="294" spans="1:5" x14ac:dyDescent="0.25">
      <c r="A294" s="177"/>
      <c r="B294" s="155"/>
      <c r="C294" s="4"/>
      <c r="D294" s="136"/>
      <c r="E294" s="3"/>
    </row>
    <row r="295" spans="1:5" x14ac:dyDescent="0.25">
      <c r="A295" s="177"/>
      <c r="B295" s="155"/>
      <c r="C295" s="4"/>
      <c r="D295" s="136"/>
      <c r="E295" s="3"/>
    </row>
    <row r="296" spans="1:5" x14ac:dyDescent="0.25">
      <c r="A296" s="177"/>
      <c r="B296" s="155"/>
      <c r="C296" s="4"/>
      <c r="D296" s="136"/>
      <c r="E296" s="3"/>
    </row>
    <row r="297" spans="1:5" x14ac:dyDescent="0.25">
      <c r="A297" s="177"/>
      <c r="B297" s="155"/>
      <c r="C297" s="4"/>
      <c r="D297" s="136"/>
      <c r="E297" s="3"/>
    </row>
    <row r="298" spans="1:5" x14ac:dyDescent="0.25">
      <c r="A298" s="177"/>
      <c r="B298" s="155"/>
      <c r="C298" s="4"/>
      <c r="D298" s="136"/>
      <c r="E298" s="3"/>
    </row>
    <row r="299" spans="1:5" x14ac:dyDescent="0.25">
      <c r="A299" s="177"/>
      <c r="B299" s="155"/>
      <c r="C299" s="4"/>
      <c r="D299" s="136"/>
      <c r="E299" s="3"/>
    </row>
    <row r="300" spans="1:5" x14ac:dyDescent="0.25">
      <c r="A300" s="177"/>
      <c r="B300" s="155"/>
      <c r="C300" s="4"/>
      <c r="D300" s="136"/>
      <c r="E300" s="3"/>
    </row>
    <row r="301" spans="1:5" x14ac:dyDescent="0.25">
      <c r="A301" s="177"/>
      <c r="B301" s="155"/>
      <c r="C301" s="4"/>
      <c r="D301" s="136"/>
      <c r="E301" s="3"/>
    </row>
    <row r="302" spans="1:5" x14ac:dyDescent="0.25">
      <c r="A302" s="177"/>
      <c r="B302" s="155"/>
      <c r="C302" s="4"/>
      <c r="D302" s="136"/>
      <c r="E302" s="3"/>
    </row>
    <row r="303" spans="1:5" x14ac:dyDescent="0.25">
      <c r="A303" s="177"/>
      <c r="B303" s="155"/>
      <c r="C303" s="4"/>
      <c r="D303" s="136"/>
      <c r="E303" s="3"/>
    </row>
    <row r="304" spans="1:5" x14ac:dyDescent="0.25">
      <c r="A304" s="177"/>
      <c r="B304" s="155"/>
      <c r="C304" s="4"/>
      <c r="D304" s="136"/>
      <c r="E304" s="3"/>
    </row>
    <row r="305" spans="1:5" x14ac:dyDescent="0.25">
      <c r="A305" s="177"/>
      <c r="B305" s="155"/>
      <c r="C305" s="4"/>
      <c r="D305" s="136"/>
      <c r="E305" s="3"/>
    </row>
    <row r="306" spans="1:5" x14ac:dyDescent="0.25">
      <c r="A306" s="177"/>
      <c r="B306" s="155"/>
      <c r="C306" s="4"/>
      <c r="D306" s="136"/>
      <c r="E306" s="3"/>
    </row>
    <row r="307" spans="1:5" x14ac:dyDescent="0.25">
      <c r="A307" s="177"/>
      <c r="B307" s="155"/>
      <c r="C307" s="4"/>
      <c r="D307" s="136"/>
      <c r="E307" s="3"/>
    </row>
    <row r="308" spans="1:5" x14ac:dyDescent="0.25">
      <c r="A308" s="177"/>
      <c r="B308" s="155"/>
      <c r="C308" s="4"/>
      <c r="D308" s="136"/>
      <c r="E308" s="3"/>
    </row>
    <row r="309" spans="1:5" x14ac:dyDescent="0.25">
      <c r="A309" s="177"/>
      <c r="B309" s="155"/>
      <c r="C309" s="4"/>
      <c r="D309" s="136"/>
      <c r="E309" s="3"/>
    </row>
    <row r="310" spans="1:5" x14ac:dyDescent="0.25">
      <c r="A310" s="177"/>
      <c r="B310" s="155"/>
      <c r="C310" s="4"/>
      <c r="D310" s="136"/>
      <c r="E310" s="3"/>
    </row>
    <row r="311" spans="1:5" x14ac:dyDescent="0.25">
      <c r="A311" s="177"/>
      <c r="B311" s="155"/>
      <c r="C311" s="4"/>
      <c r="D311" s="136"/>
      <c r="E311" s="3"/>
    </row>
    <row r="312" spans="1:5" x14ac:dyDescent="0.25">
      <c r="A312" s="177"/>
      <c r="B312" s="155"/>
      <c r="C312" s="4"/>
      <c r="D312" s="136"/>
      <c r="E312" s="3"/>
    </row>
    <row r="313" spans="1:5" x14ac:dyDescent="0.25">
      <c r="A313" s="177"/>
      <c r="B313" s="155"/>
      <c r="C313" s="4"/>
      <c r="D313" s="136"/>
      <c r="E313" s="3"/>
    </row>
    <row r="314" spans="1:5" x14ac:dyDescent="0.25">
      <c r="A314" s="177"/>
      <c r="B314" s="155"/>
      <c r="C314" s="4"/>
      <c r="D314" s="136"/>
      <c r="E314" s="3"/>
    </row>
    <row r="315" spans="1:5" x14ac:dyDescent="0.25">
      <c r="A315" s="177"/>
      <c r="B315" s="155"/>
      <c r="C315" s="4"/>
      <c r="D315" s="136"/>
      <c r="E315" s="3"/>
    </row>
    <row r="316" spans="1:5" x14ac:dyDescent="0.25">
      <c r="A316" s="177"/>
      <c r="B316" s="155"/>
      <c r="C316" s="4"/>
      <c r="D316" s="136"/>
      <c r="E316" s="3"/>
    </row>
    <row r="317" spans="1:5" x14ac:dyDescent="0.25">
      <c r="A317" s="177"/>
      <c r="B317" s="155"/>
      <c r="C317" s="4"/>
      <c r="D317" s="136"/>
      <c r="E317" s="3"/>
    </row>
    <row r="318" spans="1:5" x14ac:dyDescent="0.25">
      <c r="A318" s="177"/>
      <c r="B318" s="155"/>
      <c r="C318" s="4"/>
      <c r="D318" s="136"/>
      <c r="E318" s="3"/>
    </row>
    <row r="319" spans="1:5" x14ac:dyDescent="0.25">
      <c r="A319" s="177"/>
      <c r="B319" s="155"/>
      <c r="C319" s="4"/>
      <c r="D319" s="136"/>
      <c r="E319" s="3"/>
    </row>
    <row r="320" spans="1:5" x14ac:dyDescent="0.25">
      <c r="A320" s="177"/>
      <c r="B320" s="155"/>
      <c r="C320" s="4"/>
      <c r="D320" s="136"/>
      <c r="E320" s="3"/>
    </row>
    <row r="321" spans="1:5" x14ac:dyDescent="0.25">
      <c r="A321" s="177"/>
      <c r="B321" s="155"/>
      <c r="C321" s="4"/>
      <c r="D321" s="136"/>
      <c r="E321" s="3"/>
    </row>
    <row r="322" spans="1:5" x14ac:dyDescent="0.25">
      <c r="A322" s="177"/>
      <c r="B322" s="155"/>
      <c r="C322" s="4"/>
      <c r="D322" s="136"/>
      <c r="E322" s="3"/>
    </row>
    <row r="323" spans="1:5" x14ac:dyDescent="0.25">
      <c r="A323" s="177"/>
      <c r="B323" s="155"/>
      <c r="C323" s="4"/>
      <c r="D323" s="136"/>
      <c r="E323" s="3"/>
    </row>
    <row r="324" spans="1:5" x14ac:dyDescent="0.25">
      <c r="A324" s="177"/>
      <c r="B324" s="155"/>
      <c r="C324" s="4"/>
      <c r="D324" s="136"/>
      <c r="E324" s="3"/>
    </row>
    <row r="325" spans="1:5" x14ac:dyDescent="0.25">
      <c r="A325" s="177"/>
      <c r="B325" s="155"/>
      <c r="C325" s="4"/>
      <c r="D325" s="136"/>
      <c r="E325" s="3"/>
    </row>
    <row r="326" spans="1:5" x14ac:dyDescent="0.25">
      <c r="A326" s="177"/>
      <c r="B326" s="155"/>
      <c r="C326" s="4"/>
      <c r="D326" s="136"/>
      <c r="E326" s="3"/>
    </row>
    <row r="327" spans="1:5" x14ac:dyDescent="0.25">
      <c r="A327" s="177"/>
      <c r="B327" s="155"/>
      <c r="C327" s="4"/>
      <c r="D327" s="136"/>
      <c r="E327" s="3"/>
    </row>
    <row r="328" spans="1:5" x14ac:dyDescent="0.25">
      <c r="A328" s="177"/>
      <c r="B328" s="155"/>
      <c r="C328" s="4"/>
      <c r="D328" s="136"/>
      <c r="E328" s="3"/>
    </row>
    <row r="329" spans="1:5" x14ac:dyDescent="0.25">
      <c r="A329" s="177"/>
      <c r="B329" s="155"/>
      <c r="C329" s="4"/>
      <c r="D329" s="136"/>
      <c r="E329" s="3"/>
    </row>
    <row r="330" spans="1:5" x14ac:dyDescent="0.25">
      <c r="A330" s="177"/>
      <c r="B330" s="155"/>
      <c r="C330" s="4"/>
      <c r="D330" s="136"/>
      <c r="E330" s="3"/>
    </row>
    <row r="331" spans="1:5" x14ac:dyDescent="0.25">
      <c r="A331" s="177"/>
      <c r="B331" s="155"/>
      <c r="C331" s="4"/>
      <c r="D331" s="136"/>
      <c r="E331" s="3"/>
    </row>
    <row r="332" spans="1:5" x14ac:dyDescent="0.25">
      <c r="A332" s="177"/>
      <c r="B332" s="155"/>
      <c r="C332" s="4"/>
      <c r="D332" s="136"/>
      <c r="E332" s="3"/>
    </row>
    <row r="333" spans="1:5" x14ac:dyDescent="0.25">
      <c r="A333" s="177"/>
      <c r="B333" s="155"/>
      <c r="C333" s="4"/>
      <c r="D333" s="136"/>
      <c r="E333" s="3"/>
    </row>
    <row r="334" spans="1:5" x14ac:dyDescent="0.25">
      <c r="A334" s="177"/>
      <c r="B334" s="155"/>
      <c r="C334" s="4"/>
      <c r="D334" s="136"/>
      <c r="E334" s="3"/>
    </row>
    <row r="335" spans="1:5" x14ac:dyDescent="0.25">
      <c r="A335" s="177"/>
      <c r="B335" s="155"/>
      <c r="C335" s="4"/>
      <c r="D335" s="136"/>
      <c r="E335" s="3"/>
    </row>
    <row r="336" spans="1:5" x14ac:dyDescent="0.25">
      <c r="A336" s="177"/>
      <c r="B336" s="155"/>
      <c r="C336" s="4"/>
      <c r="D336" s="136"/>
      <c r="E336" s="3"/>
    </row>
    <row r="337" spans="1:5" x14ac:dyDescent="0.25">
      <c r="A337" s="177"/>
      <c r="B337" s="155"/>
      <c r="C337" s="4"/>
      <c r="D337" s="136"/>
      <c r="E337" s="3"/>
    </row>
    <row r="338" spans="1:5" x14ac:dyDescent="0.25">
      <c r="A338" s="177"/>
      <c r="B338" s="155"/>
      <c r="C338" s="4"/>
      <c r="D338" s="136"/>
      <c r="E338" s="3"/>
    </row>
    <row r="339" spans="1:5" x14ac:dyDescent="0.25">
      <c r="A339" s="177"/>
      <c r="B339" s="155"/>
      <c r="C339" s="4"/>
      <c r="D339" s="136"/>
      <c r="E339" s="3"/>
    </row>
    <row r="340" spans="1:5" x14ac:dyDescent="0.25">
      <c r="A340" s="177"/>
      <c r="B340" s="155"/>
      <c r="C340" s="4"/>
      <c r="D340" s="136"/>
      <c r="E340" s="3"/>
    </row>
    <row r="341" spans="1:5" x14ac:dyDescent="0.25">
      <c r="A341" s="177"/>
      <c r="B341" s="155"/>
      <c r="C341" s="4"/>
      <c r="D341" s="136"/>
      <c r="E341" s="3"/>
    </row>
    <row r="342" spans="1:5" x14ac:dyDescent="0.25">
      <c r="A342" s="177"/>
      <c r="B342" s="155"/>
      <c r="C342" s="4"/>
      <c r="D342" s="136"/>
      <c r="E342" s="3"/>
    </row>
    <row r="343" spans="1:5" x14ac:dyDescent="0.25">
      <c r="A343" s="177"/>
      <c r="B343" s="155"/>
      <c r="C343" s="4"/>
      <c r="D343" s="136"/>
      <c r="E343" s="3"/>
    </row>
    <row r="344" spans="1:5" x14ac:dyDescent="0.25">
      <c r="A344" s="177"/>
      <c r="B344" s="155"/>
      <c r="C344" s="4"/>
      <c r="D344" s="136"/>
      <c r="E344" s="3"/>
    </row>
    <row r="345" spans="1:5" x14ac:dyDescent="0.25">
      <c r="A345" s="177"/>
      <c r="B345" s="155"/>
      <c r="C345" s="4"/>
      <c r="D345" s="136"/>
      <c r="E345" s="3"/>
    </row>
    <row r="346" spans="1:5" x14ac:dyDescent="0.25">
      <c r="A346" s="177"/>
      <c r="B346" s="155"/>
      <c r="C346" s="4"/>
      <c r="D346" s="136"/>
      <c r="E346" s="3"/>
    </row>
    <row r="347" spans="1:5" x14ac:dyDescent="0.25">
      <c r="A347" s="177"/>
      <c r="B347" s="155"/>
      <c r="C347" s="4"/>
      <c r="D347" s="136"/>
      <c r="E347" s="3"/>
    </row>
    <row r="348" spans="1:5" x14ac:dyDescent="0.25">
      <c r="A348" s="177"/>
      <c r="B348" s="155"/>
      <c r="C348" s="4"/>
      <c r="D348" s="136"/>
      <c r="E348" s="3"/>
    </row>
    <row r="349" spans="1:5" x14ac:dyDescent="0.25">
      <c r="A349" s="177"/>
      <c r="B349" s="155"/>
      <c r="C349" s="4"/>
      <c r="D349" s="136"/>
      <c r="E349" s="3"/>
    </row>
    <row r="350" spans="1:5" x14ac:dyDescent="0.25">
      <c r="A350" s="177"/>
      <c r="B350" s="155"/>
      <c r="C350" s="4"/>
      <c r="D350" s="136"/>
      <c r="E350" s="3"/>
    </row>
    <row r="351" spans="1:5" x14ac:dyDescent="0.25">
      <c r="A351" s="177"/>
      <c r="B351" s="155"/>
      <c r="C351" s="4"/>
      <c r="D351" s="136"/>
      <c r="E351" s="3"/>
    </row>
    <row r="352" spans="1:5" x14ac:dyDescent="0.25">
      <c r="A352" s="177"/>
      <c r="B352" s="155"/>
      <c r="C352" s="4"/>
      <c r="D352" s="136"/>
      <c r="E352" s="3"/>
    </row>
    <row r="353" spans="1:5" x14ac:dyDescent="0.25">
      <c r="A353" s="177"/>
      <c r="B353" s="155"/>
      <c r="C353" s="4"/>
      <c r="D353" s="136"/>
      <c r="E353" s="3"/>
    </row>
    <row r="354" spans="1:5" x14ac:dyDescent="0.25">
      <c r="A354" s="177"/>
      <c r="B354" s="155"/>
      <c r="C354" s="4"/>
      <c r="D354" s="136"/>
      <c r="E354" s="3"/>
    </row>
    <row r="355" spans="1:5" x14ac:dyDescent="0.25">
      <c r="A355" s="177"/>
      <c r="B355" s="155"/>
      <c r="C355" s="4"/>
      <c r="D355" s="136"/>
      <c r="E355" s="3"/>
    </row>
    <row r="356" spans="1:5" x14ac:dyDescent="0.25">
      <c r="A356" s="177"/>
      <c r="B356" s="155"/>
      <c r="C356" s="4"/>
      <c r="D356" s="136"/>
      <c r="E356" s="3"/>
    </row>
    <row r="357" spans="1:5" x14ac:dyDescent="0.25">
      <c r="A357" s="177"/>
      <c r="B357" s="155"/>
      <c r="C357" s="4"/>
      <c r="D357" s="136"/>
      <c r="E357" s="3"/>
    </row>
    <row r="358" spans="1:5" x14ac:dyDescent="0.25">
      <c r="A358" s="177"/>
      <c r="B358" s="155"/>
      <c r="C358" s="4"/>
      <c r="D358" s="136"/>
      <c r="E358" s="3"/>
    </row>
    <row r="359" spans="1:5" x14ac:dyDescent="0.25">
      <c r="A359" s="177"/>
      <c r="B359" s="155"/>
      <c r="C359" s="4"/>
      <c r="D359" s="136"/>
      <c r="E359" s="3"/>
    </row>
    <row r="360" spans="1:5" x14ac:dyDescent="0.25">
      <c r="A360" s="177"/>
      <c r="B360" s="155"/>
      <c r="C360" s="4"/>
      <c r="D360" s="136"/>
      <c r="E360" s="3"/>
    </row>
    <row r="361" spans="1:5" x14ac:dyDescent="0.25">
      <c r="A361" s="177"/>
      <c r="B361" s="155"/>
      <c r="C361" s="4"/>
      <c r="D361" s="136"/>
      <c r="E361" s="3"/>
    </row>
    <row r="362" spans="1:5" x14ac:dyDescent="0.25">
      <c r="A362" s="177"/>
      <c r="B362" s="155"/>
      <c r="C362" s="4"/>
      <c r="D362" s="136"/>
      <c r="E362" s="3"/>
    </row>
    <row r="363" spans="1:5" x14ac:dyDescent="0.25">
      <c r="A363" s="177"/>
      <c r="B363" s="155"/>
      <c r="C363" s="4"/>
      <c r="D363" s="136"/>
      <c r="E363" s="3"/>
    </row>
    <row r="364" spans="1:5" x14ac:dyDescent="0.25">
      <c r="A364" s="177"/>
      <c r="B364" s="155"/>
      <c r="C364" s="4"/>
      <c r="D364" s="136"/>
      <c r="E364" s="3"/>
    </row>
    <row r="365" spans="1:5" x14ac:dyDescent="0.25">
      <c r="A365" s="177"/>
      <c r="B365" s="155"/>
      <c r="C365" s="4"/>
      <c r="D365" s="136"/>
      <c r="E365" s="3"/>
    </row>
    <row r="366" spans="1:5" x14ac:dyDescent="0.25">
      <c r="A366" s="177"/>
      <c r="B366" s="155"/>
      <c r="C366" s="4"/>
      <c r="D366" s="136"/>
      <c r="E366" s="3"/>
    </row>
    <row r="367" spans="1:5" x14ac:dyDescent="0.25">
      <c r="A367" s="177"/>
      <c r="B367" s="155"/>
      <c r="C367" s="4"/>
      <c r="D367" s="136"/>
      <c r="E367" s="3"/>
    </row>
    <row r="368" spans="1:5" x14ac:dyDescent="0.25">
      <c r="A368" s="177"/>
      <c r="B368" s="155"/>
      <c r="C368" s="4"/>
      <c r="D368" s="136"/>
      <c r="E368" s="3"/>
    </row>
    <row r="369" spans="1:5" x14ac:dyDescent="0.25">
      <c r="A369" s="177"/>
      <c r="B369" s="155"/>
      <c r="C369" s="4"/>
      <c r="D369" s="136"/>
      <c r="E369" s="3"/>
    </row>
    <row r="370" spans="1:5" x14ac:dyDescent="0.25">
      <c r="A370" s="177"/>
      <c r="B370" s="155"/>
      <c r="C370" s="4"/>
      <c r="D370" s="136"/>
      <c r="E370" s="3"/>
    </row>
    <row r="371" spans="1:5" x14ac:dyDescent="0.25">
      <c r="A371" s="177"/>
      <c r="B371" s="155"/>
      <c r="C371" s="4"/>
      <c r="D371" s="136"/>
      <c r="E371" s="3"/>
    </row>
    <row r="372" spans="1:5" x14ac:dyDescent="0.25">
      <c r="A372" s="177"/>
      <c r="B372" s="155"/>
      <c r="C372" s="4"/>
      <c r="D372" s="136"/>
      <c r="E372" s="3"/>
    </row>
    <row r="373" spans="1:5" x14ac:dyDescent="0.25">
      <c r="A373" s="177"/>
      <c r="B373" s="155"/>
      <c r="C373" s="4"/>
      <c r="D373" s="136"/>
      <c r="E373" s="3"/>
    </row>
    <row r="374" spans="1:5" x14ac:dyDescent="0.25">
      <c r="A374" s="177"/>
      <c r="B374" s="155"/>
      <c r="C374" s="4"/>
      <c r="D374" s="136"/>
      <c r="E374" s="3"/>
    </row>
    <row r="375" spans="1:5" x14ac:dyDescent="0.25">
      <c r="A375" s="177"/>
      <c r="B375" s="155"/>
      <c r="C375" s="4"/>
      <c r="D375" s="136"/>
      <c r="E375" s="3"/>
    </row>
    <row r="376" spans="1:5" x14ac:dyDescent="0.25">
      <c r="A376" s="177"/>
      <c r="B376" s="155"/>
      <c r="C376" s="4"/>
      <c r="D376" s="136"/>
      <c r="E376" s="3"/>
    </row>
    <row r="377" spans="1:5" x14ac:dyDescent="0.25">
      <c r="A377" s="177"/>
      <c r="B377" s="155"/>
      <c r="C377" s="4"/>
      <c r="D377" s="136"/>
      <c r="E377" s="3"/>
    </row>
    <row r="378" spans="1:5" x14ac:dyDescent="0.25">
      <c r="A378" s="177"/>
      <c r="B378" s="155"/>
      <c r="C378" s="4"/>
      <c r="D378" s="136"/>
      <c r="E378" s="3"/>
    </row>
    <row r="379" spans="1:5" x14ac:dyDescent="0.25">
      <c r="A379" s="177"/>
      <c r="B379" s="155"/>
      <c r="C379" s="4"/>
      <c r="D379" s="136"/>
      <c r="E379" s="3"/>
    </row>
    <row r="380" spans="1:5" x14ac:dyDescent="0.25">
      <c r="A380" s="177"/>
      <c r="B380" s="155"/>
      <c r="C380" s="4"/>
      <c r="D380" s="136"/>
      <c r="E380" s="3"/>
    </row>
    <row r="381" spans="1:5" x14ac:dyDescent="0.25">
      <c r="A381" s="177"/>
      <c r="B381" s="155"/>
      <c r="C381" s="4"/>
      <c r="D381" s="136"/>
      <c r="E381" s="3"/>
    </row>
    <row r="382" spans="1:5" x14ac:dyDescent="0.25">
      <c r="A382" s="177"/>
      <c r="B382" s="155"/>
      <c r="C382" s="4"/>
      <c r="D382" s="136"/>
      <c r="E382" s="3"/>
    </row>
    <row r="383" spans="1:5" x14ac:dyDescent="0.25">
      <c r="A383" s="177"/>
      <c r="B383" s="155"/>
      <c r="C383" s="4"/>
      <c r="D383" s="136"/>
      <c r="E383" s="3"/>
    </row>
    <row r="384" spans="1:5" x14ac:dyDescent="0.25">
      <c r="A384" s="177"/>
      <c r="B384" s="155"/>
      <c r="C384" s="4"/>
      <c r="D384" s="136"/>
      <c r="E384" s="3"/>
    </row>
    <row r="385" spans="1:5" x14ac:dyDescent="0.25">
      <c r="A385" s="177"/>
      <c r="B385" s="155"/>
      <c r="C385" s="4"/>
      <c r="D385" s="136"/>
      <c r="E385" s="3"/>
    </row>
    <row r="386" spans="1:5" x14ac:dyDescent="0.25">
      <c r="A386" s="177"/>
      <c r="B386" s="155"/>
      <c r="C386" s="4"/>
      <c r="D386" s="136"/>
      <c r="E386" s="3"/>
    </row>
    <row r="387" spans="1:5" x14ac:dyDescent="0.25">
      <c r="A387" s="177"/>
      <c r="B387" s="155"/>
      <c r="C387" s="4"/>
      <c r="D387" s="136"/>
      <c r="E387" s="3"/>
    </row>
    <row r="388" spans="1:5" x14ac:dyDescent="0.25">
      <c r="A388" s="177"/>
      <c r="B388" s="155"/>
      <c r="C388" s="4"/>
      <c r="D388" s="136"/>
      <c r="E388" s="3"/>
    </row>
    <row r="389" spans="1:5" x14ac:dyDescent="0.25">
      <c r="A389" s="177"/>
      <c r="B389" s="155"/>
      <c r="C389" s="4"/>
      <c r="D389" s="136"/>
      <c r="E389" s="3"/>
    </row>
    <row r="390" spans="1:5" x14ac:dyDescent="0.25">
      <c r="A390" s="177"/>
      <c r="B390" s="155"/>
      <c r="C390" s="4"/>
      <c r="D390" s="136"/>
      <c r="E390" s="3"/>
    </row>
    <row r="391" spans="1:5" x14ac:dyDescent="0.25">
      <c r="A391" s="177"/>
      <c r="B391" s="155"/>
      <c r="C391" s="4"/>
      <c r="D391" s="136"/>
      <c r="E391" s="3"/>
    </row>
    <row r="392" spans="1:5" x14ac:dyDescent="0.25">
      <c r="A392" s="177"/>
      <c r="B392" s="155"/>
      <c r="C392" s="4"/>
      <c r="D392" s="136"/>
      <c r="E392" s="3"/>
    </row>
    <row r="393" spans="1:5" x14ac:dyDescent="0.25">
      <c r="A393" s="177"/>
      <c r="B393" s="155"/>
      <c r="C393" s="4"/>
      <c r="D393" s="136"/>
      <c r="E393" s="3"/>
    </row>
    <row r="394" spans="1:5" x14ac:dyDescent="0.25">
      <c r="A394" s="177"/>
      <c r="B394" s="155"/>
      <c r="C394" s="4"/>
      <c r="D394" s="136"/>
      <c r="E394" s="3"/>
    </row>
    <row r="395" spans="1:5" x14ac:dyDescent="0.25">
      <c r="A395" s="177"/>
      <c r="B395" s="155"/>
      <c r="C395" s="4"/>
      <c r="D395" s="136"/>
      <c r="E395" s="3"/>
    </row>
    <row r="396" spans="1:5" x14ac:dyDescent="0.25">
      <c r="A396" s="177"/>
      <c r="B396" s="155"/>
      <c r="C396" s="4"/>
      <c r="D396" s="136"/>
      <c r="E396" s="3"/>
    </row>
    <row r="397" spans="1:5" x14ac:dyDescent="0.25">
      <c r="A397" s="177"/>
      <c r="B397" s="155"/>
      <c r="C397" s="4"/>
      <c r="D397" s="136"/>
      <c r="E397" s="3"/>
    </row>
    <row r="398" spans="1:5" x14ac:dyDescent="0.25">
      <c r="A398" s="177"/>
      <c r="B398" s="155"/>
      <c r="C398" s="4"/>
      <c r="D398" s="136"/>
      <c r="E398" s="3"/>
    </row>
    <row r="399" spans="1:5" x14ac:dyDescent="0.25">
      <c r="A399" s="177"/>
      <c r="B399" s="155"/>
      <c r="C399" s="4"/>
      <c r="D399" s="136"/>
      <c r="E399" s="3"/>
    </row>
    <row r="400" spans="1:5" x14ac:dyDescent="0.25">
      <c r="A400" s="177"/>
      <c r="B400" s="155"/>
      <c r="C400" s="4"/>
      <c r="D400" s="136"/>
      <c r="E400" s="3"/>
    </row>
    <row r="401" spans="1:5" x14ac:dyDescent="0.25">
      <c r="A401" s="177"/>
      <c r="B401" s="155"/>
      <c r="C401" s="4"/>
      <c r="D401" s="136"/>
      <c r="E401" s="3"/>
    </row>
    <row r="402" spans="1:5" x14ac:dyDescent="0.25">
      <c r="A402" s="177"/>
      <c r="B402" s="155"/>
      <c r="C402" s="4"/>
      <c r="D402" s="136"/>
      <c r="E402" s="3"/>
    </row>
    <row r="403" spans="1:5" x14ac:dyDescent="0.25">
      <c r="A403" s="177"/>
      <c r="B403" s="155"/>
      <c r="C403" s="4"/>
      <c r="D403" s="136"/>
      <c r="E403" s="3"/>
    </row>
    <row r="404" spans="1:5" x14ac:dyDescent="0.25">
      <c r="A404" s="177"/>
      <c r="B404" s="155"/>
      <c r="C404" s="4"/>
      <c r="D404" s="136"/>
      <c r="E404" s="3"/>
    </row>
    <row r="405" spans="1:5" x14ac:dyDescent="0.25">
      <c r="A405" s="177"/>
      <c r="B405" s="155"/>
      <c r="C405" s="4"/>
      <c r="D405" s="136"/>
      <c r="E405" s="3"/>
    </row>
    <row r="406" spans="1:5" x14ac:dyDescent="0.25">
      <c r="A406" s="177"/>
      <c r="B406" s="155"/>
      <c r="C406" s="4"/>
      <c r="D406" s="136"/>
      <c r="E406" s="3"/>
    </row>
    <row r="407" spans="1:5" x14ac:dyDescent="0.25">
      <c r="A407" s="177"/>
      <c r="B407" s="155"/>
      <c r="C407" s="4"/>
      <c r="D407" s="136"/>
      <c r="E407" s="3"/>
    </row>
    <row r="408" spans="1:5" x14ac:dyDescent="0.25">
      <c r="A408" s="177"/>
      <c r="B408" s="155"/>
      <c r="C408" s="4"/>
      <c r="D408" s="136"/>
      <c r="E408" s="3"/>
    </row>
    <row r="409" spans="1:5" x14ac:dyDescent="0.25">
      <c r="A409" s="177"/>
      <c r="B409" s="155"/>
      <c r="C409" s="4"/>
      <c r="D409" s="136"/>
      <c r="E409" s="3"/>
    </row>
    <row r="410" spans="1:5" x14ac:dyDescent="0.25">
      <c r="A410" s="177"/>
      <c r="B410" s="155"/>
      <c r="C410" s="4"/>
      <c r="D410" s="136"/>
      <c r="E410" s="3"/>
    </row>
    <row r="411" spans="1:5" x14ac:dyDescent="0.25">
      <c r="A411" s="177"/>
      <c r="B411" s="155"/>
      <c r="C411" s="4"/>
      <c r="D411" s="136"/>
      <c r="E411" s="3"/>
    </row>
    <row r="412" spans="1:5" x14ac:dyDescent="0.25">
      <c r="A412" s="177"/>
      <c r="B412" s="155"/>
      <c r="C412" s="4"/>
      <c r="D412" s="136"/>
      <c r="E412" s="3"/>
    </row>
    <row r="413" spans="1:5" x14ac:dyDescent="0.25">
      <c r="A413" s="2"/>
      <c r="B413" s="155"/>
      <c r="C413" s="4"/>
      <c r="D413" s="136"/>
      <c r="E413" s="3"/>
    </row>
    <row r="414" spans="1:5" x14ac:dyDescent="0.25">
      <c r="A414" s="2"/>
      <c r="B414" s="155"/>
      <c r="C414" s="4"/>
      <c r="D414" s="136"/>
      <c r="E414" s="3"/>
    </row>
    <row r="415" spans="1:5" x14ac:dyDescent="0.25">
      <c r="A415" s="2"/>
      <c r="B415" s="155"/>
      <c r="C415" s="4"/>
      <c r="D415" s="136"/>
      <c r="E415" s="3"/>
    </row>
    <row r="416" spans="1:5" x14ac:dyDescent="0.25">
      <c r="A416" s="2"/>
      <c r="B416" s="4"/>
      <c r="C416" s="4"/>
      <c r="D416" s="4"/>
      <c r="E416" s="3"/>
    </row>
    <row r="417" spans="1:5" x14ac:dyDescent="0.25">
      <c r="A417" s="2"/>
      <c r="B417" s="4"/>
      <c r="C417" s="4"/>
      <c r="D417" s="4"/>
      <c r="E417" s="3"/>
    </row>
    <row r="418" spans="1:5" x14ac:dyDescent="0.25">
      <c r="A418" s="2"/>
      <c r="B418" s="4"/>
      <c r="C418" s="4"/>
      <c r="D418" s="4"/>
      <c r="E418" s="3"/>
    </row>
    <row r="419" spans="1:5" x14ac:dyDescent="0.25">
      <c r="A419" s="2"/>
      <c r="B419" s="4"/>
      <c r="C419" s="4"/>
      <c r="D419" s="4"/>
      <c r="E419" s="3"/>
    </row>
    <row r="420" spans="1:5" x14ac:dyDescent="0.25">
      <c r="A420" s="2"/>
      <c r="B420" s="4"/>
      <c r="C420" s="4"/>
      <c r="D420" s="4"/>
      <c r="E420" s="3"/>
    </row>
    <row r="421" spans="1:5" x14ac:dyDescent="0.25">
      <c r="A421" s="2"/>
      <c r="B421" s="4"/>
      <c r="C421" s="4"/>
      <c r="D421" s="4"/>
      <c r="E421" s="3"/>
    </row>
  </sheetData>
  <autoFilter ref="A2:E420" xr:uid="{00000000-0009-0000-0000-000003000000}"/>
  <sortState xmlns:xlrd2="http://schemas.microsoft.com/office/spreadsheetml/2017/richdata2" ref="A3:E234">
    <sortCondition ref="B3:B234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75Y60 P37</vt:lpstr>
      <vt:lpstr>Custo Hora</vt:lpstr>
      <vt:lpstr>Material Comprado</vt:lpstr>
      <vt:lpstr>'75Y60 P37'!Area_de_impressao</vt:lpstr>
      <vt:lpstr>'Dados de Entrada'!Area_de_impressao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Fernando</cp:lastModifiedBy>
  <cp:lastPrinted>2020-10-28T14:27:35Z</cp:lastPrinted>
  <dcterms:created xsi:type="dcterms:W3CDTF">2020-09-30T17:41:51Z</dcterms:created>
  <dcterms:modified xsi:type="dcterms:W3CDTF">2022-03-07T11:27:34Z</dcterms:modified>
</cp:coreProperties>
</file>